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Arkusz1!$A$1:$P$99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96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</text>
    </comment>
    <comment ref="L4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Notowania ciągłe cen surowców (https://www.bankier.pl/surowce/notowania)</t>
        </r>
      </text>
    </comment>
    <comment ref="L5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Do analizy za cęn metanu z odmetanowania kopalń przyjęto 80% ceny gazu ziemnego wg notowań ciągłych (https://www.bankier.pl/surowce/notowania)</t>
        </r>
      </text>
    </comment>
    <comment ref="L6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Do analizy przyjęto cenę baryłki ropy =26,43$ na dzień 26.03.2010 (ww.bankier.pl/surowce/notowania), (1bbl=159l), gęstość tzw. Ropy średniej wynosi 884kg/m3</t>
        </r>
      </text>
    </comment>
    <comment ref="L7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Cenę węgla ustalono jako 90% ceny GJ energii zawartej w węglu brunatnym w odniesienia do średniej jkości węgla kamiennego o wartości opałowej 27GJ/Mg. Prz cenie GJ energi w węglu kamiennym (298,77 zł/Mg i wartości 27GJ/Mg cena 1 GJ wynosi 0,9*11,07zł/GJ *15GJ =149,39zł/Mg węgla brunatnego o średniej wartości opałowej 15MJ/Mg)</t>
        </r>
      </text>
    </comment>
    <comment ref="L8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Indeks PSCMI 2 (w PLN/tonę i w PLN/GJ): odzwierciedla poziom cen (loco kopalnia2) miałów energetycznych klasy 23-26/08 w sprzedaży do ciepłowni przemysłowych i komunalnych, innych odbiorców przemysłowych i pozostałych odbiorców krajowych. Obliczany jako średnia ważona z miesięcznych dostaw, spełniających kryterium jakościowe indeksu (parametry w stanie roboczym): wartość opałowa: 23≤Q&lt;27 MJ/kg, zawartość siarki całkowitej poniżej 0,8% (Str &lt; 0,8%). Cena produktu miesięcznego jest ustalana jako średnia ważona z transakcji zrealizowanych na polskim rynku węgla energetycznego, zafakturowanych w danym miesiącu kalendarzowym.</t>
        </r>
      </text>
    </comment>
    <comment ref="L10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Średnia cena w notowaniach na giełdach światowych na dzień 27.03.2020   (https://www.bankier.pl/surowce/notowania)</t>
        </r>
      </text>
    </comment>
    <comment ref="L11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Średnia cena w notowaniach na giełdach światowych na dzień 27.03.2020   (https://www.bankier.pl/surowce/notowania)</t>
        </r>
      </text>
    </comment>
    <comment ref="L12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Średnia cena w notowaniach na giełdach światowych na dzień 27.03.2020   (https://www.bankier.pl/surowce/notowania)</t>
        </r>
      </text>
    </comment>
    <comment ref="L13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Średnia cena w notowaniach na giełdach światowych na dzień 27.03.2020   (https://www.bankier.pl/surowce/notowania)</t>
        </r>
      </text>
    </comment>
    <comment ref="L14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cena referencyjna - średni 1Y - https://pl.tradingeconomics.com/commodity/molybden</t>
        </r>
      </text>
    </comment>
    <comment ref="L15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cena referencyjna - średni 1Y - https://pl.tradingeconomics.com/commodity/molybden</t>
        </r>
      </text>
    </comment>
    <comment ref="L17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cena przyjęta na podstawie publikacji: K. Stanienda-Pilecki. Produkcja górnicza podstawowych surowców mineralnych na świecie i w Polsce w 2017 r.Przegląd górniczy 2019; T75, nr4 ; s. 19-28</t>
        </r>
      </text>
    </comment>
    <comment ref="L18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cena przyjęta na podstawie publikacji: K. Stanienda-Pilecki. Produkcja górnicza podstawowych surowców mineralnych na świecie i w Polsce w 2017 r.Przegląd górniczy 2019; T75, nr4 ; s. 19-28</t>
        </r>
      </text>
    </comment>
    <comment ref="L19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cena przyjęta na podstawie publikacji: K. Stanienda-Pilecki. Produkcja górnicza podstawowych surowców mineralnych na świecie i w Polsce w 2017 r.Przegląd górniczy 2019; T75, nr4 ; s. 19-28</t>
        </r>
      </text>
    </comment>
    <comment ref="L20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cena przyjęta na podstawie publikacji: K. Stanienda-Pilecki. Produkcja górnicza podstawowych surowców mineralnych na świecie i w Polsce w 2017 r.Przegląd górniczy 2019; T75, nr4 ; s. 19-28</t>
        </r>
      </text>
    </comment>
    <comment ref="L21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cena przyjęta na podstawie publikacji: K. Stanienda-Pilecki. Produkcja górnicza podstawowych surowców mineralnych na świecie i w Polsce w 2017 r.Przegląd górniczy 2019; T75, nr4 ; s. 19-28</t>
        </r>
      </text>
    </comment>
    <comment ref="L23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24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1/2 ceny detalicznej z ofert Przedsiębiorstwa Produkcji Kruszyw Mineralnych i Lekkich Sp. Z o.o. w Gliwicach. http://www.ppkmil.com.pl/materialy/pliki/57.pdf</t>
        </r>
      </text>
    </comment>
    <comment ref="L25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26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27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28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1/2 ceny detalicznej z ofert Przedsiębiorstwa Produkcji Kruszyw Mineralnych i Lekkich Sp. Z o.o. w Gliwicach. http://www.ppkmil.com.pl/materialy/pliki/57.pdf</t>
        </r>
      </text>
    </comment>
    <comment ref="L29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30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31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32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34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35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1/2 ceny detalicznej z ofert Przedsiębiorstwa Produkcji Kruszyw Mineralnych i Lekkich Sp. Z o.o. w Gliwicach. http://www.ppkmil.com.pl/materialy/pliki/57.pdf</t>
        </r>
      </text>
    </comment>
    <comment ref="L36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37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1/2 ceny detalicznej z ofert Przedsiębiorstwa Produkcji Kruszyw Mineralnych i Lekkich Sp. Z o.o. w Gliwicach. http://www.ppkmil.com.pl/materialy/pliki/57.pdf</t>
        </r>
      </text>
    </comment>
    <comment ref="L39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0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1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2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3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4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5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6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Przyjęto ceny przybliżone do produktów mineralnych o podobnych właściwościach na podstawie publikacji A.Paulo, M.Krzak. - Ceny surowców mineralnych na rynkach światowych. Przegląd Geologiczny . Nr 11- 1998 </t>
        </r>
      </text>
    </comment>
    <comment ref="L48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srednia cena za okres 5 lat w kontraktach terminowych  - https://pl.investing.com/commodities/iron-ore-62-cfr-futures</t>
        </r>
      </text>
    </comment>
    <comment ref="L49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https://www.vanadiumprice.com/</t>
        </r>
      </text>
    </comment>
    <comment ref="L50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https://www.bankier.pl/surowce/notowania</t>
        </r>
      </text>
    </comment>
    <comment ref="L52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ilość zasobu przyjęta za - http://www.kowr.gov.pl/zasob;   - cenę przyjęto jako średnią cenę krajową dla gruntów ornych średniej klasy bonitacyjnej (IIIb, IV) za - https://www.arimr.gov.pl/pomoc-krajowa/srednie-ceny-gruntow-wg-gus.html po przeliczeniu na USD po kursie z dnia 30.03.2010.</t>
        </r>
      </text>
    </comment>
    <comment ref="L53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wielkość zasobu na postawie -https://www.lasy.gov.pl/pl; cenę przyjęto   - http://analizacen.pl/ile-kosztuje-las.php - oraz analizy ofert sprzedaży lasów prywatnych,   w przeliczeniu na USD po kursie z dnia 30.03.2020</t>
        </r>
      </text>
    </comment>
    <comment ref="L55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Gutry-Korycka M., Sadurski A., Kundzewicz Z.W., Pociask-Karteczka J., Skrzypczyk L., 2014, Zasoby wodne a ich wykorzystanie, Nauka, 1/2014, s44-98. (https://ungc.org.pl/info/zasoby-wodne-polsce/)</t>
        </r>
      </text>
    </comment>
    <comment ref="L56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Dell:
</t>
        </r>
        <r>
          <rPr>
            <sz val="9"/>
            <color rgb="FF000000"/>
            <rFont val="Tahoma"/>
            <family val="2"/>
            <charset val="238"/>
          </rPr>
          <t xml:space="preserve">Gutry-Korycka M., Sadurski A., Kundzewicz Z.W., Pociask-Karteczka J., Skrzypczyk L., 2014, Zasoby wodne a ich wykorzystanie, Nauka, 1/2014, s44-98. (https://ungc.org.pl/info/zasoby-wodne-polsce/)</t>
        </r>
      </text>
    </comment>
  </commentList>
</comments>
</file>

<file path=xl/sharedStrings.xml><?xml version="1.0" encoding="utf-8"?>
<sst xmlns="http://schemas.openxmlformats.org/spreadsheetml/2006/main" count="444" uniqueCount="231">
  <si>
    <t xml:space="preserve">L.p.</t>
  </si>
  <si>
    <t xml:space="preserve">KOPALINY UŻYTECZNE</t>
  </si>
  <si>
    <t xml:space="preserve">Ilość zasobów</t>
  </si>
  <si>
    <t xml:space="preserve">jednostki</t>
  </si>
  <si>
    <t xml:space="preserve">Zasoby bilansowe</t>
  </si>
  <si>
    <t xml:space="preserve">Jednostki</t>
  </si>
  <si>
    <t xml:space="preserve">Ilość kopaliny na 1 akcję</t>
  </si>
  <si>
    <t xml:space="preserve">Obecna cena składnika majątkowego</t>
  </si>
  <si>
    <t xml:space="preserve">Źródło ceny</t>
  </si>
  <si>
    <t xml:space="preserve">Wartość kopaliny wg zsobów bilansowych</t>
  </si>
  <si>
    <t xml:space="preserve">Wartość kopaliny na  1 akcję</t>
  </si>
  <si>
    <t xml:space="preserve">ogółem</t>
  </si>
  <si>
    <t xml:space="preserve">zagospodarowanych</t>
  </si>
  <si>
    <t xml:space="preserve">KOPALINY ENERGETYCZNE</t>
  </si>
  <si>
    <t xml:space="preserve">gaz ziemny</t>
  </si>
  <si>
    <r>
      <rPr>
        <sz val="10"/>
        <color rgb="FF000000"/>
        <rFont val="Calibri"/>
        <family val="2"/>
        <charset val="238"/>
      </rPr>
      <t xml:space="preserve">10</t>
    </r>
    <r>
      <rPr>
        <vertAlign val="superscript"/>
        <sz val="10"/>
        <color rgb="FF000000"/>
        <rFont val="Calibri"/>
        <family val="2"/>
        <charset val="238"/>
      </rPr>
      <t xml:space="preserve">9</t>
    </r>
    <r>
      <rPr>
        <sz val="10"/>
        <color rgb="FF000000"/>
        <rFont val="Calibri"/>
        <family val="2"/>
        <charset val="238"/>
      </rPr>
      <t xml:space="preserve">m</t>
    </r>
    <r>
      <rPr>
        <vertAlign val="superscript"/>
        <sz val="10"/>
        <color rgb="FF000000"/>
        <rFont val="Calibri"/>
        <family val="2"/>
        <charset val="238"/>
      </rPr>
      <t xml:space="preserve">3</t>
    </r>
  </si>
  <si>
    <t xml:space="preserve">m3/akcje</t>
  </si>
  <si>
    <t xml:space="preserve">$/1000m3</t>
  </si>
  <si>
    <t xml:space="preserve">*1</t>
  </si>
  <si>
    <t xml:space="preserve">8481,2 mld$</t>
  </si>
  <si>
    <t xml:space="preserve">188471,10 $</t>
  </si>
  <si>
    <t xml:space="preserve">metan z pokładów węgla</t>
  </si>
  <si>
    <t xml:space="preserve">*2</t>
  </si>
  <si>
    <t xml:space="preserve">1840,0 mld$</t>
  </si>
  <si>
    <t xml:space="preserve">41000,00 $</t>
  </si>
  <si>
    <t xml:space="preserve">ropa naftowa</t>
  </si>
  <si>
    <r>
      <rPr>
        <sz val="10"/>
        <color rgb="FF000000"/>
        <rFont val="Calibri"/>
        <family val="2"/>
        <charset val="238"/>
      </rPr>
      <t xml:space="preserve">10</t>
    </r>
    <r>
      <rPr>
        <vertAlign val="superscript"/>
        <sz val="10"/>
        <color rgb="FF000000"/>
        <rFont val="Calibri"/>
        <family val="2"/>
        <charset val="238"/>
      </rPr>
      <t xml:space="preserve">6</t>
    </r>
    <r>
      <rPr>
        <sz val="10"/>
        <color rgb="FF000000"/>
        <rFont val="Calibri"/>
        <family val="2"/>
        <charset val="238"/>
      </rPr>
      <t xml:space="preserve">ton</t>
    </r>
  </si>
  <si>
    <r>
      <rPr>
        <sz val="10"/>
        <color rgb="FF000000"/>
        <rFont val="Calibri"/>
        <family val="2"/>
        <charset val="238"/>
      </rPr>
      <t xml:space="preserve">10</t>
    </r>
    <r>
      <rPr>
        <vertAlign val="superscript"/>
        <sz val="10"/>
        <color rgb="FF000000"/>
        <rFont val="Calibri"/>
        <family val="2"/>
        <charset val="238"/>
      </rPr>
      <t xml:space="preserve">6</t>
    </r>
    <r>
      <rPr>
        <sz val="10"/>
        <color rgb="FF000000"/>
        <rFont val="Calibri"/>
        <family val="2"/>
        <charset val="238"/>
      </rPr>
      <t xml:space="preserve">Mg</t>
    </r>
  </si>
  <si>
    <t xml:space="preserve">Mg/akcję</t>
  </si>
  <si>
    <t xml:space="preserve">$/Mg</t>
  </si>
  <si>
    <t xml:space="preserve">*3</t>
  </si>
  <si>
    <t xml:space="preserve">3373,4 mld$</t>
  </si>
  <si>
    <t xml:space="preserve">75965,30 $</t>
  </si>
  <si>
    <t xml:space="preserve">węgle brunatne</t>
  </si>
  <si>
    <r>
      <rPr>
        <sz val="10"/>
        <color rgb="FF000000"/>
        <rFont val="Calibri"/>
        <family val="2"/>
        <charset val="238"/>
      </rPr>
      <t xml:space="preserve">10</t>
    </r>
    <r>
      <rPr>
        <vertAlign val="superscript"/>
        <sz val="10"/>
        <color rgb="FF000000"/>
        <rFont val="Calibri"/>
        <family val="2"/>
        <charset val="238"/>
      </rPr>
      <t xml:space="preserve">9</t>
    </r>
    <r>
      <rPr>
        <sz val="10"/>
        <color rgb="FF000000"/>
        <rFont val="Calibri"/>
        <family val="2"/>
        <charset val="238"/>
      </rPr>
      <t xml:space="preserve">ton</t>
    </r>
  </si>
  <si>
    <r>
      <rPr>
        <sz val="10"/>
        <color rgb="FF000000"/>
        <rFont val="Calibri"/>
        <family val="2"/>
        <charset val="238"/>
      </rPr>
      <t xml:space="preserve">10</t>
    </r>
    <r>
      <rPr>
        <vertAlign val="superscript"/>
        <sz val="10"/>
        <color rgb="FF000000"/>
        <rFont val="Calibri"/>
        <family val="2"/>
        <charset val="238"/>
      </rPr>
      <t xml:space="preserve">9</t>
    </r>
    <r>
      <rPr>
        <sz val="10"/>
        <color rgb="FF000000"/>
        <rFont val="Calibri"/>
        <family val="2"/>
        <charset val="238"/>
      </rPr>
      <t xml:space="preserve">Mg</t>
    </r>
  </si>
  <si>
    <t xml:space="preserve">*4</t>
  </si>
  <si>
    <t xml:space="preserve">863,0mld$</t>
  </si>
  <si>
    <t xml:space="preserve">19167,00 $</t>
  </si>
  <si>
    <t xml:space="preserve">węgle kamienne</t>
  </si>
  <si>
    <t xml:space="preserve">*5</t>
  </si>
  <si>
    <t xml:space="preserve">4420,0 mld$</t>
  </si>
  <si>
    <t xml:space="preserve">98278,00 $</t>
  </si>
  <si>
    <t xml:space="preserve">KOPALINY METALICZNE</t>
  </si>
  <si>
    <t xml:space="preserve">cynk metaliczny</t>
  </si>
  <si>
    <t xml:space="preserve">*6</t>
  </si>
  <si>
    <t xml:space="preserve">6690,0 mld$</t>
  </si>
  <si>
    <t xml:space="preserve">148760,00 $</t>
  </si>
  <si>
    <t xml:space="preserve">ołów metaliczny</t>
  </si>
  <si>
    <t xml:space="preserve">2367,0 mld$</t>
  </si>
  <si>
    <t xml:space="preserve">52608,00 $</t>
  </si>
  <si>
    <t xml:space="preserve">miedź metaliczna</t>
  </si>
  <si>
    <t xml:space="preserve">163,7 mld $</t>
  </si>
  <si>
    <t xml:space="preserve">3637,00$</t>
  </si>
  <si>
    <t xml:space="preserve">srebro</t>
  </si>
  <si>
    <r>
      <rPr>
        <sz val="10"/>
        <color rgb="FF000000"/>
        <rFont val="Calibri"/>
        <family val="2"/>
        <charset val="238"/>
      </rPr>
      <t xml:space="preserve">10</t>
    </r>
    <r>
      <rPr>
        <vertAlign val="superscript"/>
        <sz val="10"/>
        <color rgb="FF000000"/>
        <rFont val="Calibri"/>
        <family val="2"/>
        <charset val="238"/>
      </rPr>
      <t xml:space="preserve">3</t>
    </r>
    <r>
      <rPr>
        <sz val="10"/>
        <color rgb="FF000000"/>
        <rFont val="Calibri"/>
        <family val="2"/>
        <charset val="238"/>
      </rPr>
      <t xml:space="preserve">Mg</t>
    </r>
  </si>
  <si>
    <t xml:space="preserve">$/uncje</t>
  </si>
  <si>
    <t xml:space="preserve">48,5  mld $</t>
  </si>
  <si>
    <t xml:space="preserve">1,08tys$ </t>
  </si>
  <si>
    <t xml:space="preserve">molibden metaliczny</t>
  </si>
  <si>
    <t xml:space="preserve">*7</t>
  </si>
  <si>
    <t xml:space="preserve">774,0 mld$</t>
  </si>
  <si>
    <t xml:space="preserve">172000,00 $</t>
  </si>
  <si>
    <t xml:space="preserve">wolfram metaliczny</t>
  </si>
  <si>
    <t xml:space="preserve">780,0 mld$</t>
  </si>
  <si>
    <t xml:space="preserve">173000,00 $</t>
  </si>
  <si>
    <t xml:space="preserve">KOPALINY CHEMICZNE</t>
  </si>
  <si>
    <t xml:space="preserve">baryty</t>
  </si>
  <si>
    <t xml:space="preserve">*8</t>
  </si>
  <si>
    <t xml:space="preserve">969mln$</t>
  </si>
  <si>
    <t xml:space="preserve">21,50 $</t>
  </si>
  <si>
    <t xml:space="preserve">fluoryt</t>
  </si>
  <si>
    <t xml:space="preserve">167 mln$</t>
  </si>
  <si>
    <t xml:space="preserve">3,72 $</t>
  </si>
  <si>
    <t xml:space="preserve">siarka</t>
  </si>
  <si>
    <t xml:space="preserve">30,18 mld$</t>
  </si>
  <si>
    <t xml:space="preserve">671,00 $</t>
  </si>
  <si>
    <t xml:space="preserve">sole potasowo-magnezowe</t>
  </si>
  <si>
    <t xml:space="preserve">34,30 mld$</t>
  </si>
  <si>
    <t xml:space="preserve">762,00  $</t>
  </si>
  <si>
    <t xml:space="preserve">sól kamienna</t>
  </si>
  <si>
    <t xml:space="preserve">3600mld$</t>
  </si>
  <si>
    <t xml:space="preserve">80000,00  $</t>
  </si>
  <si>
    <t xml:space="preserve">KOPALINY SKALNE</t>
  </si>
  <si>
    <t xml:space="preserve">bentonity i iły bentonitowe</t>
  </si>
  <si>
    <t xml:space="preserve">*10</t>
  </si>
  <si>
    <t xml:space="preserve">8,70 mln$</t>
  </si>
  <si>
    <t xml:space="preserve">0,19 $</t>
  </si>
  <si>
    <t xml:space="preserve">dolomity</t>
  </si>
  <si>
    <t xml:space="preserve">*9</t>
  </si>
  <si>
    <t xml:space="preserve">8,00 mln$</t>
  </si>
  <si>
    <t xml:space="preserve">0,18 $</t>
  </si>
  <si>
    <t xml:space="preserve">gipsy i anhydryty</t>
  </si>
  <si>
    <t xml:space="preserve">765 mln$</t>
  </si>
  <si>
    <t xml:space="preserve">17,00 $</t>
  </si>
  <si>
    <t xml:space="preserve">gliny ceramiczne</t>
  </si>
  <si>
    <t xml:space="preserve">216 mln$</t>
  </si>
  <si>
    <t xml:space="preserve">4,80 $</t>
  </si>
  <si>
    <t xml:space="preserve">gliny ogniotrwałe</t>
  </si>
  <si>
    <t xml:space="preserve">kamienie łamane </t>
  </si>
  <si>
    <t xml:space="preserve">44,00 mld$</t>
  </si>
  <si>
    <t xml:space="preserve">978,00 $</t>
  </si>
  <si>
    <t xml:space="preserve">kreda</t>
  </si>
  <si>
    <t xml:space="preserve">1,04 mld$</t>
  </si>
  <si>
    <t xml:space="preserve">23,00 $</t>
  </si>
  <si>
    <t xml:space="preserve">kwarcyty ogniotrwałe</t>
  </si>
  <si>
    <t xml:space="preserve">26,4mln$</t>
  </si>
  <si>
    <t xml:space="preserve">0,59 $</t>
  </si>
  <si>
    <t xml:space="preserve">kwarc żyłowy</t>
  </si>
  <si>
    <t xml:space="preserve">22,4 mln$</t>
  </si>
  <si>
    <t xml:space="preserve">0,50 $</t>
  </si>
  <si>
    <t xml:space="preserve">magnezyty</t>
  </si>
  <si>
    <t xml:space="preserve">56,0 mln$</t>
  </si>
  <si>
    <t xml:space="preserve">1,24 $</t>
  </si>
  <si>
    <t xml:space="preserve">PIASKI</t>
  </si>
  <si>
    <t xml:space="preserve">formierskie</t>
  </si>
  <si>
    <t xml:space="preserve">906 mln$</t>
  </si>
  <si>
    <t xml:space="preserve">20,10 $</t>
  </si>
  <si>
    <t xml:space="preserve">do produkcji betonów i cegły</t>
  </si>
  <si>
    <t xml:space="preserve">2,17 mld$</t>
  </si>
  <si>
    <t xml:space="preserve">48,20 $</t>
  </si>
  <si>
    <t xml:space="preserve">podsadzkowe</t>
  </si>
  <si>
    <t xml:space="preserve">8,60 mld$</t>
  </si>
  <si>
    <t xml:space="preserve">191,00 $</t>
  </si>
  <si>
    <t xml:space="preserve">piaski i żwiry</t>
  </si>
  <si>
    <t xml:space="preserve">77,6 mld$</t>
  </si>
  <si>
    <t xml:space="preserve">1720,00$</t>
  </si>
  <si>
    <t xml:space="preserve">SUROWCE ILASTE</t>
  </si>
  <si>
    <t xml:space="preserve">ceramika budowlana</t>
  </si>
  <si>
    <t xml:space="preserve">12,3 mld$</t>
  </si>
  <si>
    <t xml:space="preserve">273,00$</t>
  </si>
  <si>
    <t xml:space="preserve">do produkcji cementu</t>
  </si>
  <si>
    <t xml:space="preserve">560 mln$</t>
  </si>
  <si>
    <t xml:space="preserve">12,40 $</t>
  </si>
  <si>
    <t xml:space="preserve">do produkcji kruszywa</t>
  </si>
  <si>
    <t xml:space="preserve">672 mln4</t>
  </si>
  <si>
    <t xml:space="preserve">14,90 $</t>
  </si>
  <si>
    <t xml:space="preserve">surowce kaolinowe</t>
  </si>
  <si>
    <t xml:space="preserve">1,13 mld$</t>
  </si>
  <si>
    <t xml:space="preserve">25,10 $</t>
  </si>
  <si>
    <t xml:space="preserve">surowce skaleniowe</t>
  </si>
  <si>
    <t xml:space="preserve">417 mln$</t>
  </si>
  <si>
    <t xml:space="preserve">9,27 $</t>
  </si>
  <si>
    <t xml:space="preserve">surowce szklarskie</t>
  </si>
  <si>
    <t xml:space="preserve">2,59 mld$</t>
  </si>
  <si>
    <t xml:space="preserve">57,50 $</t>
  </si>
  <si>
    <t xml:space="preserve">torf</t>
  </si>
  <si>
    <t xml:space="preserve">273 mln$</t>
  </si>
  <si>
    <t xml:space="preserve">6,07 $</t>
  </si>
  <si>
    <t xml:space="preserve">wapienie i margle dla przemysłu cementowego i wapienniczego</t>
  </si>
  <si>
    <t xml:space="preserve">36,4mld$</t>
  </si>
  <si>
    <t xml:space="preserve">809,00 $</t>
  </si>
  <si>
    <t xml:space="preserve">Złoża w przesmyku suwalskim</t>
  </si>
  <si>
    <t xml:space="preserve">rudy żelaza</t>
  </si>
  <si>
    <t xml:space="preserve">*14</t>
  </si>
  <si>
    <t xml:space="preserve">2,88 mld$</t>
  </si>
  <si>
    <t xml:space="preserve">64,00 $</t>
  </si>
  <si>
    <t xml:space="preserve">wanad</t>
  </si>
  <si>
    <t xml:space="preserve">*16</t>
  </si>
  <si>
    <t xml:space="preserve">5000,00 $</t>
  </si>
  <si>
    <t xml:space="preserve">tytan</t>
  </si>
  <si>
    <t xml:space="preserve">*15</t>
  </si>
  <si>
    <t xml:space="preserve">336 tys$</t>
  </si>
  <si>
    <t xml:space="preserve">7470,00 $</t>
  </si>
  <si>
    <t xml:space="preserve">ZIEMIE</t>
  </si>
  <si>
    <t xml:space="preserve">Grunty w zasobach KOWR</t>
  </si>
  <si>
    <r>
      <rPr>
        <sz val="10"/>
        <color rgb="FF000000"/>
        <rFont val="Czcionka tekstu podstawowego"/>
        <family val="2"/>
        <charset val="238"/>
      </rPr>
      <t xml:space="preserve">10</t>
    </r>
    <r>
      <rPr>
        <vertAlign val="superscript"/>
        <sz val="10"/>
        <color rgb="FF000000"/>
        <rFont val="Czcionka tekstu podstawowego"/>
        <family val="0"/>
        <charset val="238"/>
      </rPr>
      <t xml:space="preserve">6</t>
    </r>
    <r>
      <rPr>
        <sz val="10"/>
        <color rgb="FF000000"/>
        <rFont val="Czcionka tekstu podstawowego"/>
        <family val="2"/>
        <charset val="238"/>
      </rPr>
      <t xml:space="preserve">ha</t>
    </r>
  </si>
  <si>
    <t xml:space="preserve">ha/akcję</t>
  </si>
  <si>
    <t xml:space="preserve">$/ha</t>
  </si>
  <si>
    <t xml:space="preserve">*13</t>
  </si>
  <si>
    <t xml:space="preserve">14,5 mld$</t>
  </si>
  <si>
    <t xml:space="preserve">322,00  $</t>
  </si>
  <si>
    <t xml:space="preserve">Lasy w zasobach Przedsiębiorstwa Lasy Państwowe</t>
  </si>
  <si>
    <t xml:space="preserve">*12</t>
  </si>
  <si>
    <t xml:space="preserve">83,7 mld$</t>
  </si>
  <si>
    <t xml:space="preserve">1860,00  $</t>
  </si>
  <si>
    <t xml:space="preserve">Zasoby wodne Polski</t>
  </si>
  <si>
    <t xml:space="preserve">wody podziemne</t>
  </si>
  <si>
    <t xml:space="preserve">m3/rok</t>
  </si>
  <si>
    <t xml:space="preserve">(m3/rok)/akcję</t>
  </si>
  <si>
    <t xml:space="preserve">$/m3</t>
  </si>
  <si>
    <t xml:space="preserve">*11</t>
  </si>
  <si>
    <t xml:space="preserve">5,46 ml$</t>
  </si>
  <si>
    <t xml:space="preserve">0,123 $</t>
  </si>
  <si>
    <t xml:space="preserve">Zasoby powierzchniowe srednie opady, retencja, wody płynace</t>
  </si>
  <si>
    <t xml:space="preserve">6,32 mld$</t>
  </si>
  <si>
    <t xml:space="preserve">140,00 $</t>
  </si>
  <si>
    <t xml:space="preserve">Metale ziem żadkich</t>
  </si>
  <si>
    <t xml:space="preserve">skand</t>
  </si>
  <si>
    <t xml:space="preserve">itr</t>
  </si>
  <si>
    <t xml:space="preserve">lantan</t>
  </si>
  <si>
    <t xml:space="preserve">cer</t>
  </si>
  <si>
    <t xml:space="preserve">prazeodym</t>
  </si>
  <si>
    <t xml:space="preserve">neodym</t>
  </si>
  <si>
    <t xml:space="preserve">promet</t>
  </si>
  <si>
    <t xml:space="preserve">samar</t>
  </si>
  <si>
    <t xml:space="preserve">europ</t>
  </si>
  <si>
    <t xml:space="preserve">gadolin</t>
  </si>
  <si>
    <t xml:space="preserve">terb</t>
  </si>
  <si>
    <t xml:space="preserve">dysproz</t>
  </si>
  <si>
    <t xml:space="preserve">erb</t>
  </si>
  <si>
    <t xml:space="preserve">tul</t>
  </si>
  <si>
    <t xml:space="preserve">iterb</t>
  </si>
  <si>
    <t xml:space="preserve">lutet</t>
  </si>
  <si>
    <t xml:space="preserve">holm</t>
  </si>
  <si>
    <t xml:space="preserve">Zasoby perspektywiczne, głównie gaz, ropa, węgiel kamienny</t>
  </si>
  <si>
    <t xml:space="preserve">Ponad 50 hałd górniczych</t>
  </si>
  <si>
    <t xml:space="preserve">Zasoby geotermalne</t>
  </si>
  <si>
    <t xml:space="preserve">Podziemne magazyny energi</t>
  </si>
  <si>
    <t xml:space="preserve">RAZEM</t>
  </si>
  <si>
    <t xml:space="preserve">47700mld$</t>
  </si>
  <si>
    <t xml:space="preserve">1074,4 mln$</t>
  </si>
  <si>
    <t xml:space="preserve">RAZEM w PLN</t>
  </si>
  <si>
    <t xml:space="preserve">Kurs dolara na dzień 14.04.2020  - 4,14 zł</t>
  </si>
  <si>
    <t xml:space="preserve">197,00bln zł</t>
  </si>
  <si>
    <t xml:space="preserve">Notowania ciągłe cen surowców (https://www.bankier.pl/surowce/notowania)</t>
  </si>
  <si>
    <t xml:space="preserve">Do analizy za cęn metanu z odmetanowania kopalń przyjęto 80% ceny gazu ziemnego wg notowań ciągłych (https://www.bankier.pl/surowce/notowania)</t>
  </si>
  <si>
    <r>
      <rPr>
        <sz val="11"/>
        <color rgb="FF000000"/>
        <rFont val="Czcionka tekstu podstawowego"/>
        <family val="2"/>
        <charset val="238"/>
      </rPr>
      <t xml:space="preserve">Do analizy przyjęto cenę baryłki ropy =26,43$ na dzień 26.03.2010 (ww.bankier.pl/surowce/notowania), (1bbl=159l), gęstość tzw. Ropy średniej wynosi 884kg/m</t>
    </r>
    <r>
      <rPr>
        <vertAlign val="superscript"/>
        <sz val="11"/>
        <color rgb="FF000000"/>
        <rFont val="Czcionka tekstu podstawowego"/>
        <family val="2"/>
        <charset val="238"/>
      </rPr>
      <t xml:space="preserve">3</t>
    </r>
  </si>
  <si>
    <t xml:space="preserve">Cenę węgla ustalono jako 90% ceny GJ energii zawartej w węglu brunatnym w odniesienia do średniej jkości węgla kamiennego o wartości opałowej 27GJ/Mg. Prz cenie GJ energi w węglu kamiennym (298,77 zł/Mg i wartości 27GJ/Mg cena 1 GJ wynosi 0,9*11,07zł/GJ *15GJ =149,39zł/Mg węgla brunatnego o średniej wartości opałowej 15MJ/Mg)</t>
  </si>
  <si>
    <t xml:space="preserve">Indeks PSCMI 2 (w PLN/tonę i w PLN/GJ): odzwierciedla poziom cen (loco kopalnia2) miałów energetycznych klasy 23-26/08 w sprzedaży do ciepłowni przemysłowych i komunalnych, innych odbiorców przemysłowych i pozostałych odbiorców krajowych. Obliczany jako średnia ważona z miesięcznych dostaw, spełniających kryterium jakościowe indeksu (parametry w stanie roboczym): wartość opałowa: 23≤Q&lt;27 MJ/kg, zawartość siarki całkowitej poniżej 0,8% (Str &lt; 0,8%). Cena produktu miesięcznego jest ustalana jako średnia ważona z transakcji zrealizowanych na polskim rynku węgla energetycznego, zafakturowanych w danym miesiącu kalendarzowym.</t>
  </si>
  <si>
    <t xml:space="preserve">Średnia cena w notowaniach na giełdach światowych na dzień 27.03.2020   (https://www.bankier.pl/surowce/notowania)</t>
  </si>
  <si>
    <t xml:space="preserve">cena referencyjna - średni 1Y - https://pl.tradingeconomics.com/commodity/molybden</t>
  </si>
  <si>
    <t xml:space="preserve">cena przyjęta na podstawie publikacji: K. Stanienda-Pilecki. Produkcja górnicza podstawowych surowców mineralnych na świecie i w Polsce w 2017 r.Przegląd górniczy 2019; T75, nr4 ; s. 19-28</t>
  </si>
  <si>
    <t xml:space="preserve">przyjęto 1/2 ceny detalicznej z ofert Przedsiębiorstwa Produkcji Kruszyw Mineralnych i Lekkich Sp. Z o.o. w Gliwicach. http://www.ppkmil.com.pl/materialy/pliki/57.pdf</t>
  </si>
  <si>
    <t xml:space="preserve">Przyjęto ceny przybliżone do produktów mineralnych o podobnych właściwościach na podstawie publikacji A.Paulo, M.Krzak. - Ceny surowców mineralnych na rynkach światowych. Przegląd Geologiczny . Nr 11- 1998 </t>
  </si>
  <si>
    <t xml:space="preserve">Gutry-Korycka M., Sadurski A., Kundzewicz Z.W., Pociask-Karteczka J., Skrzypczyk L., 2014, Zasoby wodne a ich wykorzystanie, Nauka, 1/2014, s44-98. (https://ungc.org.pl/info/zasoby-wodne-polsce/)</t>
  </si>
  <si>
    <t xml:space="preserve">wielkość zasobu na postawie -https://www.lasy.gov.pl/pl; cenę przyjęto   - http://analizacen.pl/ile-kosztuje-las.php - oraz analizy ofert sprzedaży lasów prywatnych,   w przeliczeniu na USD po kursie z dnia 30.03.2020</t>
  </si>
  <si>
    <t xml:space="preserve">ilość zasobu przyjęta za - http://www.kowr.gov.pl/zasob;   - cenę przyjęto jako średnią cenę krajową dla gruntów ornych średniej klasy bonitacyjnej (IIIb, IV) za - https://www.arimr.gov.pl/pomoc-krajowa/srednie-ceny-gruntow-wg-gus.html po przeliczeniu na USD po kursie z dnia 30.03.2010.</t>
  </si>
  <si>
    <t xml:space="preserve">srednia cena za okres 5 lat w kontraktach terminowych  - https://pl.investing.com/commodities/iron-ore-62-cfr-futures</t>
  </si>
  <si>
    <t xml:space="preserve">https://www.bankier.pl/surowce/notowania</t>
  </si>
  <si>
    <t xml:space="preserve">https://www.vanadiumprice.com/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</si>
</sst>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E+00"/>
    <numFmt numFmtId="167" formatCode="General"/>
    <numFmt numFmtId="168" formatCode="dd\-mmm"/>
    <numFmt numFmtId="169" formatCode="0%"/>
    <numFmt numFmtId="170" formatCode="0.00%"/>
    <numFmt numFmtId="171" formatCode="#,##0&quot; zł&quot;;[RED]\-#,##0&quot; zł&quot;"/>
  </numFmts>
  <fonts count="23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9"/>
      <color rgb="FF000000"/>
      <name val="Czcionka tekstu podstawowego"/>
      <family val="2"/>
      <charset val="238"/>
    </font>
    <font>
      <vertAlign val="superscript"/>
      <sz val="10"/>
      <color rgb="FF000000"/>
      <name val="Czcionka tekstu podstawowego"/>
      <family val="0"/>
      <charset val="238"/>
    </font>
    <font>
      <sz val="8"/>
      <color rgb="FF000000"/>
      <name val="Czcionka tekstu podstawowego"/>
      <family val="2"/>
      <charset val="238"/>
    </font>
    <font>
      <b val="true"/>
      <sz val="10"/>
      <name val="Calibri"/>
      <family val="2"/>
      <charset val="238"/>
    </font>
    <font>
      <sz val="10"/>
      <color rgb="FFFFFFFF"/>
      <name val="Czcionka tekstu podstawowego"/>
      <family val="2"/>
      <charset val="238"/>
    </font>
    <font>
      <sz val="10"/>
      <name val="Czcionka tekstu podstawowego"/>
      <family val="2"/>
      <charset val="238"/>
    </font>
    <font>
      <b val="true"/>
      <sz val="9"/>
      <name val="Czcionka tekstu podstawowego"/>
      <family val="2"/>
      <charset val="238"/>
    </font>
    <font>
      <b val="true"/>
      <sz val="8"/>
      <color rgb="FF000000"/>
      <name val="Czcionka tekstu podstawowego"/>
      <family val="0"/>
      <charset val="238"/>
    </font>
    <font>
      <vertAlign val="superscript"/>
      <sz val="11"/>
      <color rgb="FF000000"/>
      <name val="Czcionka tekstu podstawowego"/>
      <family val="2"/>
      <charset val="238"/>
    </font>
    <font>
      <u val="single"/>
      <sz val="11"/>
      <color rgb="FF0000FF"/>
      <name val="Czcionka tekstu podstawowego"/>
      <family val="0"/>
      <charset val="238"/>
    </font>
    <font>
      <u val="single"/>
      <sz val="9.25"/>
      <color rgb="FF0000FF"/>
      <name val="Czcionka tekstu podstawowego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2F2F2"/>
      </patternFill>
    </fill>
    <fill>
      <patternFill patternType="solid">
        <fgColor rgb="FFF2F2F2"/>
        <bgColor rgb="FFEEECE1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EEECE1"/>
      </left>
      <right style="thin">
        <color rgb="FFEEECE1"/>
      </right>
      <top style="thin"/>
      <bottom/>
      <diagonal/>
    </border>
    <border diagonalUp="false" diagonalDown="false">
      <left style="thin">
        <color rgb="FFEEECE1"/>
      </left>
      <right/>
      <top style="thin"/>
      <bottom/>
      <diagonal/>
    </border>
    <border diagonalUp="false" diagonalDown="false">
      <left style="thin">
        <color rgb="FFEEECE1"/>
      </left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8" fillId="3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3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3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3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7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9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3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9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7" fillId="3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9" fontId="9" fillId="3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3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3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7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3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3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1" fontId="18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2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lasy.gov.pl/pl" TargetMode="External"/><Relationship Id="rId3" Type="http://schemas.openxmlformats.org/officeDocument/2006/relationships/hyperlink" Target="https://www.bankier.pl/surowce/notowania" TargetMode="External"/><Relationship Id="rId4" Type="http://schemas.openxmlformats.org/officeDocument/2006/relationships/hyperlink" Target="https://www.vanadiumprice.com/" TargetMode="External"/><Relationship Id="rId5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J98"/>
  <sheetViews>
    <sheetView showFormulas="false" showGridLines="true" showRowColHeaders="true" showZeros="true" rightToLeft="false" tabSelected="true" showOutlineSymbols="true" defaultGridColor="true" view="normal" topLeftCell="A1" colorId="64" zoomScale="89" zoomScaleNormal="89" zoomScalePageLayoutView="100" workbookViewId="0">
      <pane xSplit="9" ySplit="9" topLeftCell="K10" activePane="bottomRight" state="frozen"/>
      <selection pane="topLeft" activeCell="A1" activeCellId="0" sqref="A1"/>
      <selection pane="topRight" activeCell="K1" activeCellId="0" sqref="K1"/>
      <selection pane="bottomLeft" activeCell="A10" activeCellId="0" sqref="A10"/>
      <selection pane="bottomRight" activeCell="Y66" activeCellId="0" sqref="Y66"/>
    </sheetView>
  </sheetViews>
  <sheetFormatPr defaultColWidth="8.4921875" defaultRowHeight="15" zeroHeight="false" outlineLevelRow="0" outlineLevelCol="0"/>
  <cols>
    <col collapsed="false" customWidth="true" hidden="false" outlineLevel="0" max="1" min="1" style="1" width="4.2"/>
    <col collapsed="false" customWidth="true" hidden="false" outlineLevel="0" max="2" min="2" style="0" width="17.4"/>
    <col collapsed="false" customWidth="true" hidden="false" outlineLevel="0" max="3" min="3" style="0" width="7.2"/>
    <col collapsed="false" customWidth="true" hidden="false" outlineLevel="0" max="4" min="4" style="0" width="6.7"/>
    <col collapsed="false" customWidth="false" hidden="true" outlineLevel="0" max="5" min="5" style="0" width="8.5"/>
    <col collapsed="false" customWidth="true" hidden="false" outlineLevel="0" max="6" min="6" style="2" width="7.4"/>
    <col collapsed="false" customWidth="true" hidden="false" outlineLevel="0" max="7" min="7" style="0" width="6.6"/>
    <col collapsed="false" customWidth="true" hidden="false" outlineLevel="0" max="8" min="8" style="3" width="7.9"/>
    <col collapsed="false" customWidth="true" hidden="false" outlineLevel="0" max="9" min="9" style="0" width="8.9"/>
    <col collapsed="false" customWidth="true" hidden="false" outlineLevel="0" max="10" min="10" style="4" width="9.7"/>
    <col collapsed="false" customWidth="true" hidden="false" outlineLevel="0" max="11" min="11" style="0" width="7.7"/>
    <col collapsed="false" customWidth="true" hidden="false" outlineLevel="0" max="12" min="12" style="5" width="4.6"/>
    <col collapsed="false" customWidth="true" hidden="false" outlineLevel="0" max="13" min="13" style="0" width="9.9"/>
    <col collapsed="false" customWidth="true" hidden="false" outlineLevel="0" max="14" min="14" style="2" width="11.5"/>
    <col collapsed="false" customWidth="true" hidden="false" outlineLevel="0" max="15" min="15" style="6" width="9.6"/>
    <col collapsed="false" customWidth="true" hidden="false" outlineLevel="0" max="16" min="16" style="2" width="9.7"/>
    <col collapsed="false" customWidth="true" hidden="false" outlineLevel="0" max="17" min="17" style="0" width="11.19"/>
    <col collapsed="false" customWidth="true" hidden="false" outlineLevel="0" max="18" min="18" style="0" width="12.4"/>
    <col collapsed="false" customWidth="true" hidden="false" outlineLevel="0" max="20" min="20" style="0" width="14.4"/>
    <col collapsed="false" customWidth="true" hidden="false" outlineLevel="0" max="25" min="25" style="0" width="19"/>
  </cols>
  <sheetData>
    <row r="1" customFormat="false" ht="25.5" hidden="false" customHeight="true" outlineLevel="0" collapsed="false">
      <c r="A1" s="7" t="s">
        <v>0</v>
      </c>
      <c r="B1" s="8" t="s">
        <v>1</v>
      </c>
      <c r="C1" s="9" t="s">
        <v>2</v>
      </c>
      <c r="D1" s="9"/>
      <c r="E1" s="8" t="s">
        <v>3</v>
      </c>
      <c r="F1" s="8" t="s">
        <v>4</v>
      </c>
      <c r="G1" s="8" t="s">
        <v>5</v>
      </c>
      <c r="H1" s="10" t="s">
        <v>6</v>
      </c>
      <c r="I1" s="8" t="s">
        <v>5</v>
      </c>
      <c r="J1" s="11" t="s">
        <v>7</v>
      </c>
      <c r="K1" s="8" t="s">
        <v>5</v>
      </c>
      <c r="L1" s="12" t="s">
        <v>8</v>
      </c>
      <c r="M1" s="8" t="s">
        <v>9</v>
      </c>
      <c r="N1" s="8"/>
      <c r="O1" s="8" t="s">
        <v>10</v>
      </c>
      <c r="P1" s="8"/>
    </row>
    <row r="2" customFormat="false" ht="30" hidden="false" customHeight="true" outlineLevel="0" collapsed="false">
      <c r="A2" s="7"/>
      <c r="B2" s="8"/>
      <c r="C2" s="8" t="s">
        <v>11</v>
      </c>
      <c r="D2" s="8" t="s">
        <v>12</v>
      </c>
      <c r="E2" s="8"/>
      <c r="F2" s="8"/>
      <c r="G2" s="8"/>
      <c r="H2" s="10"/>
      <c r="I2" s="8"/>
      <c r="J2" s="11"/>
      <c r="K2" s="8"/>
      <c r="L2" s="12"/>
      <c r="M2" s="8"/>
      <c r="N2" s="8"/>
      <c r="O2" s="8"/>
      <c r="P2" s="8"/>
    </row>
    <row r="3" customFormat="false" ht="28.5" hidden="false" customHeight="false" outlineLevel="0" collapsed="false">
      <c r="A3" s="13" t="n">
        <v>1</v>
      </c>
      <c r="B3" s="14" t="s">
        <v>13</v>
      </c>
      <c r="C3" s="15"/>
      <c r="D3" s="16"/>
      <c r="E3" s="15"/>
      <c r="F3" s="17"/>
      <c r="G3" s="15"/>
      <c r="H3" s="18"/>
      <c r="I3" s="19"/>
      <c r="J3" s="20"/>
      <c r="K3" s="21"/>
      <c r="L3" s="22"/>
      <c r="M3" s="23"/>
      <c r="N3" s="24"/>
      <c r="O3" s="25"/>
      <c r="P3" s="24"/>
    </row>
    <row r="4" customFormat="false" ht="27" hidden="false" customHeight="false" outlineLevel="0" collapsed="false">
      <c r="A4" s="26" t="n">
        <f aca="false">A3+1</f>
        <v>2</v>
      </c>
      <c r="B4" s="27" t="s">
        <v>14</v>
      </c>
      <c r="C4" s="28" t="n">
        <v>298</v>
      </c>
      <c r="D4" s="28" t="n">
        <v>203</v>
      </c>
      <c r="E4" s="29" t="s">
        <v>15</v>
      </c>
      <c r="F4" s="30" t="n">
        <v>140</v>
      </c>
      <c r="G4" s="29" t="s">
        <v>15</v>
      </c>
      <c r="H4" s="30" t="n">
        <f aca="false">(F4*10^9)/(45*10^6)</f>
        <v>3111.11111111111</v>
      </c>
      <c r="I4" s="29" t="s">
        <v>16</v>
      </c>
      <c r="J4" s="31" t="n">
        <v>60.58</v>
      </c>
      <c r="K4" s="32" t="s">
        <v>17</v>
      </c>
      <c r="L4" s="33" t="s">
        <v>18</v>
      </c>
      <c r="M4" s="34" t="n">
        <f aca="false">(F4*10^9)*J4</f>
        <v>8481200000000</v>
      </c>
      <c r="N4" s="35" t="s">
        <v>19</v>
      </c>
      <c r="O4" s="34" t="n">
        <f aca="false">M4/(45*10^6)</f>
        <v>188471.111111111</v>
      </c>
      <c r="P4" s="35" t="s">
        <v>20</v>
      </c>
    </row>
    <row r="5" customFormat="false" ht="27" hidden="false" customHeight="false" outlineLevel="0" collapsed="false">
      <c r="A5" s="26" t="n">
        <f aca="false">A4+1</f>
        <v>3</v>
      </c>
      <c r="B5" s="27" t="s">
        <v>21</v>
      </c>
      <c r="C5" s="28" t="n">
        <v>65</v>
      </c>
      <c r="D5" s="28" t="n">
        <v>27</v>
      </c>
      <c r="E5" s="29" t="s">
        <v>15</v>
      </c>
      <c r="F5" s="30" t="n">
        <f aca="false">C5-D5</f>
        <v>38</v>
      </c>
      <c r="G5" s="29" t="s">
        <v>15</v>
      </c>
      <c r="H5" s="30" t="n">
        <f aca="false">(F5*10^9)/(45*10^6)</f>
        <v>844.444444444445</v>
      </c>
      <c r="I5" s="29" t="s">
        <v>16</v>
      </c>
      <c r="J5" s="31" t="n">
        <v>48.5</v>
      </c>
      <c r="K5" s="32" t="s">
        <v>17</v>
      </c>
      <c r="L5" s="33" t="s">
        <v>22</v>
      </c>
      <c r="M5" s="34" t="n">
        <f aca="false">(F5*10^9)*J5</f>
        <v>1843000000000</v>
      </c>
      <c r="N5" s="35" t="s">
        <v>23</v>
      </c>
      <c r="O5" s="34" t="n">
        <f aca="false">M5/(45*10^6)</f>
        <v>40955.5555555556</v>
      </c>
      <c r="P5" s="35" t="s">
        <v>24</v>
      </c>
    </row>
    <row r="6" customFormat="false" ht="15" hidden="false" customHeight="false" outlineLevel="0" collapsed="false">
      <c r="A6" s="26" t="n">
        <f aca="false">A5+1</f>
        <v>4</v>
      </c>
      <c r="B6" s="27" t="s">
        <v>25</v>
      </c>
      <c r="C6" s="28" t="n">
        <v>86</v>
      </c>
      <c r="D6" s="28" t="n">
        <v>59</v>
      </c>
      <c r="E6" s="29" t="s">
        <v>26</v>
      </c>
      <c r="F6" s="30" t="n">
        <v>24</v>
      </c>
      <c r="G6" s="29" t="s">
        <v>27</v>
      </c>
      <c r="H6" s="30" t="n">
        <f aca="false">(F6*10^6)/(45*10^6)</f>
        <v>0.533333333333333</v>
      </c>
      <c r="I6" s="29" t="s">
        <v>28</v>
      </c>
      <c r="J6" s="31" t="n">
        <v>140.56</v>
      </c>
      <c r="K6" s="32" t="s">
        <v>29</v>
      </c>
      <c r="L6" s="33" t="s">
        <v>30</v>
      </c>
      <c r="M6" s="34" t="n">
        <f aca="false">(F6*10^9)*J6</f>
        <v>3373440000000</v>
      </c>
      <c r="N6" s="35" t="s">
        <v>31</v>
      </c>
      <c r="O6" s="34" t="n">
        <f aca="false">M6/(45*10^6)</f>
        <v>74965.3333333333</v>
      </c>
      <c r="P6" s="35" t="s">
        <v>32</v>
      </c>
    </row>
    <row r="7" customFormat="false" ht="15" hidden="false" customHeight="false" outlineLevel="0" collapsed="false">
      <c r="A7" s="26" t="n">
        <f aca="false">A6+1</f>
        <v>5</v>
      </c>
      <c r="B7" s="27" t="s">
        <v>33</v>
      </c>
      <c r="C7" s="28" t="n">
        <v>91</v>
      </c>
      <c r="D7" s="28" t="n">
        <v>9</v>
      </c>
      <c r="E7" s="29" t="s">
        <v>34</v>
      </c>
      <c r="F7" s="30" t="n">
        <v>23</v>
      </c>
      <c r="G7" s="29" t="s">
        <v>35</v>
      </c>
      <c r="H7" s="30" t="n">
        <f aca="false">(F7*10^9)/(45*10^6)</f>
        <v>511.111111111111</v>
      </c>
      <c r="I7" s="29" t="s">
        <v>28</v>
      </c>
      <c r="J7" s="31" t="n">
        <v>37.5</v>
      </c>
      <c r="K7" s="32" t="s">
        <v>29</v>
      </c>
      <c r="L7" s="33" t="s">
        <v>36</v>
      </c>
      <c r="M7" s="34" t="n">
        <f aca="false">(F7*10^9)*J7</f>
        <v>862500000000</v>
      </c>
      <c r="N7" s="35" t="s">
        <v>37</v>
      </c>
      <c r="O7" s="34" t="n">
        <f aca="false">M7/(45*10^6)</f>
        <v>19166.6666666667</v>
      </c>
      <c r="P7" s="35" t="s">
        <v>38</v>
      </c>
    </row>
    <row r="8" customFormat="false" ht="15" hidden="false" customHeight="false" outlineLevel="0" collapsed="false">
      <c r="A8" s="26" t="n">
        <f aca="false">A7+1</f>
        <v>6</v>
      </c>
      <c r="B8" s="27" t="s">
        <v>39</v>
      </c>
      <c r="C8" s="28" t="n">
        <v>161</v>
      </c>
      <c r="D8" s="28" t="n">
        <v>45</v>
      </c>
      <c r="E8" s="29" t="s">
        <v>34</v>
      </c>
      <c r="F8" s="30" t="n">
        <v>61</v>
      </c>
      <c r="G8" s="29" t="s">
        <v>35</v>
      </c>
      <c r="H8" s="30" t="n">
        <f aca="false">(F8*10^9)/(45*10^6)</f>
        <v>1355.55555555556</v>
      </c>
      <c r="I8" s="29" t="s">
        <v>28</v>
      </c>
      <c r="J8" s="31" t="n">
        <v>72.5</v>
      </c>
      <c r="K8" s="33" t="s">
        <v>29</v>
      </c>
      <c r="L8" s="33" t="s">
        <v>40</v>
      </c>
      <c r="M8" s="34" t="n">
        <f aca="false">(F8*10^9)*J8</f>
        <v>4422500000000</v>
      </c>
      <c r="N8" s="35" t="s">
        <v>41</v>
      </c>
      <c r="O8" s="34" t="n">
        <f aca="false">M8/(45*10^6)</f>
        <v>98277.7777777778</v>
      </c>
      <c r="P8" s="35" t="s">
        <v>42</v>
      </c>
    </row>
    <row r="9" customFormat="false" ht="15" hidden="false" customHeight="false" outlineLevel="0" collapsed="false">
      <c r="A9" s="36" t="n">
        <f aca="false">A8+1</f>
        <v>7</v>
      </c>
      <c r="B9" s="37" t="s">
        <v>43</v>
      </c>
      <c r="C9" s="38" t="n">
        <v>33</v>
      </c>
      <c r="D9" s="38" t="n">
        <v>9</v>
      </c>
      <c r="E9" s="37" t="s">
        <v>34</v>
      </c>
      <c r="F9" s="39" t="n">
        <v>2.5</v>
      </c>
      <c r="G9" s="37" t="s">
        <v>35</v>
      </c>
      <c r="H9" s="39" t="n">
        <f aca="false">(F9*10^9)/(454*10^6)</f>
        <v>5.50660792951542</v>
      </c>
      <c r="I9" s="37" t="s">
        <v>28</v>
      </c>
      <c r="J9" s="40"/>
      <c r="K9" s="41"/>
      <c r="L9" s="42"/>
      <c r="M9" s="43"/>
      <c r="N9" s="44"/>
      <c r="O9" s="43"/>
      <c r="P9" s="44"/>
    </row>
    <row r="10" customFormat="false" ht="15" hidden="false" customHeight="false" outlineLevel="0" collapsed="false">
      <c r="A10" s="45" t="n">
        <f aca="false">A9+1</f>
        <v>8</v>
      </c>
      <c r="B10" s="27" t="s">
        <v>44</v>
      </c>
      <c r="C10" s="28" t="n">
        <v>20</v>
      </c>
      <c r="D10" s="28" t="n">
        <v>3</v>
      </c>
      <c r="E10" s="29" t="s">
        <v>26</v>
      </c>
      <c r="F10" s="30" t="n">
        <v>3.6</v>
      </c>
      <c r="G10" s="29" t="s">
        <v>27</v>
      </c>
      <c r="H10" s="30" t="n">
        <f aca="false">(F10*10^6)/(45*10^6)</f>
        <v>0.08</v>
      </c>
      <c r="I10" s="29" t="s">
        <v>28</v>
      </c>
      <c r="J10" s="31" t="n">
        <v>1859.5</v>
      </c>
      <c r="K10" s="32" t="s">
        <v>29</v>
      </c>
      <c r="L10" s="33" t="s">
        <v>45</v>
      </c>
      <c r="M10" s="34" t="n">
        <f aca="false">(F10*10^9)*J10</f>
        <v>6694200000000</v>
      </c>
      <c r="N10" s="35" t="s">
        <v>46</v>
      </c>
      <c r="O10" s="34" t="n">
        <f aca="false">M10/(45*10^6)</f>
        <v>148760</v>
      </c>
      <c r="P10" s="35" t="s">
        <v>47</v>
      </c>
    </row>
    <row r="11" customFormat="false" ht="15" hidden="false" customHeight="false" outlineLevel="0" collapsed="false">
      <c r="A11" s="45" t="n">
        <f aca="false">A10+1</f>
        <v>9</v>
      </c>
      <c r="B11" s="27" t="s">
        <v>48</v>
      </c>
      <c r="C11" s="28"/>
      <c r="D11" s="28"/>
      <c r="E11" s="29" t="s">
        <v>26</v>
      </c>
      <c r="F11" s="30" t="n">
        <v>1.4</v>
      </c>
      <c r="G11" s="29" t="s">
        <v>27</v>
      </c>
      <c r="H11" s="30" t="n">
        <f aca="false">(F11*10^6)/(45*10^6)</f>
        <v>0.0311111111111111</v>
      </c>
      <c r="I11" s="29" t="s">
        <v>28</v>
      </c>
      <c r="J11" s="31" t="n">
        <v>1691</v>
      </c>
      <c r="K11" s="32" t="s">
        <v>29</v>
      </c>
      <c r="L11" s="33" t="s">
        <v>45</v>
      </c>
      <c r="M11" s="34" t="n">
        <f aca="false">(F11*10^9)*J11</f>
        <v>2367400000000</v>
      </c>
      <c r="N11" s="35" t="s">
        <v>49</v>
      </c>
      <c r="O11" s="34" t="n">
        <f aca="false">M11/(45*10^6)</f>
        <v>52608.8888888889</v>
      </c>
      <c r="P11" s="35" t="s">
        <v>50</v>
      </c>
    </row>
    <row r="12" customFormat="false" ht="15" hidden="false" customHeight="false" outlineLevel="0" collapsed="false">
      <c r="A12" s="45" t="n">
        <f aca="false">A11+1</f>
        <v>10</v>
      </c>
      <c r="B12" s="27" t="s">
        <v>51</v>
      </c>
      <c r="C12" s="28" t="n">
        <v>12</v>
      </c>
      <c r="D12" s="28" t="n">
        <v>6</v>
      </c>
      <c r="E12" s="29" t="s">
        <v>26</v>
      </c>
      <c r="F12" s="30" t="n">
        <v>34</v>
      </c>
      <c r="G12" s="29" t="s">
        <v>27</v>
      </c>
      <c r="H12" s="30" t="n">
        <f aca="false">(F12*10^6)/(45*10^6)</f>
        <v>0.755555555555556</v>
      </c>
      <c r="I12" s="29" t="s">
        <v>28</v>
      </c>
      <c r="J12" s="31" t="n">
        <v>4813.5</v>
      </c>
      <c r="K12" s="32" t="s">
        <v>29</v>
      </c>
      <c r="L12" s="33" t="s">
        <v>45</v>
      </c>
      <c r="M12" s="34" t="n">
        <f aca="false">F12*10^6*J12</f>
        <v>163659000000</v>
      </c>
      <c r="N12" s="35" t="s">
        <v>52</v>
      </c>
      <c r="O12" s="34" t="n">
        <f aca="false">M12/(45*10^6)</f>
        <v>3636.86666666667</v>
      </c>
      <c r="P12" s="35" t="s">
        <v>53</v>
      </c>
    </row>
    <row r="13" customFormat="false" ht="15" hidden="false" customHeight="false" outlineLevel="0" collapsed="false">
      <c r="A13" s="45" t="n">
        <f aca="false">A12+1</f>
        <v>11</v>
      </c>
      <c r="B13" s="27" t="s">
        <v>54</v>
      </c>
      <c r="C13" s="28"/>
      <c r="D13" s="28"/>
      <c r="E13" s="29" t="s">
        <v>26</v>
      </c>
      <c r="F13" s="30" t="n">
        <v>103</v>
      </c>
      <c r="G13" s="29" t="s">
        <v>55</v>
      </c>
      <c r="H13" s="30" t="n">
        <f aca="false">(F13*10^3)/(45*10^6)</f>
        <v>0.00228888888888889</v>
      </c>
      <c r="I13" s="29" t="s">
        <v>28</v>
      </c>
      <c r="J13" s="31" t="n">
        <v>14.65</v>
      </c>
      <c r="K13" s="32" t="s">
        <v>56</v>
      </c>
      <c r="L13" s="33" t="s">
        <v>45</v>
      </c>
      <c r="M13" s="34" t="n">
        <f aca="false">(F13*10^3*(10^6/31.1)*J13)</f>
        <v>48519292604.5016</v>
      </c>
      <c r="N13" s="35" t="s">
        <v>57</v>
      </c>
      <c r="O13" s="34" t="n">
        <f aca="false">M13/(45*10^6)</f>
        <v>1078.20650232226</v>
      </c>
      <c r="P13" s="35" t="s">
        <v>58</v>
      </c>
    </row>
    <row r="14" customFormat="false" ht="15" hidden="false" customHeight="false" outlineLevel="0" collapsed="false">
      <c r="A14" s="45" t="n">
        <f aca="false">A13+1</f>
        <v>12</v>
      </c>
      <c r="B14" s="27" t="s">
        <v>59</v>
      </c>
      <c r="C14" s="28" t="n">
        <v>1</v>
      </c>
      <c r="D14" s="28"/>
      <c r="E14" s="29" t="s">
        <v>26</v>
      </c>
      <c r="F14" s="30" t="n">
        <v>0.3</v>
      </c>
      <c r="G14" s="29" t="s">
        <v>27</v>
      </c>
      <c r="H14" s="30" t="n">
        <f aca="false">(F14*10^6)/(45*10^6)</f>
        <v>0.00666666666666667</v>
      </c>
      <c r="I14" s="29" t="s">
        <v>28</v>
      </c>
      <c r="J14" s="31" t="n">
        <v>25800</v>
      </c>
      <c r="K14" s="32" t="s">
        <v>29</v>
      </c>
      <c r="L14" s="33" t="s">
        <v>60</v>
      </c>
      <c r="M14" s="34" t="n">
        <f aca="false">(F14*10^9)*J14</f>
        <v>7740000000000</v>
      </c>
      <c r="N14" s="35" t="s">
        <v>61</v>
      </c>
      <c r="O14" s="34" t="n">
        <f aca="false">M14/(45*10^6)</f>
        <v>172000</v>
      </c>
      <c r="P14" s="35" t="s">
        <v>62</v>
      </c>
    </row>
    <row r="15" customFormat="false" ht="15" hidden="false" customHeight="false" outlineLevel="0" collapsed="false">
      <c r="A15" s="45" t="n">
        <f aca="false">A14+1</f>
        <v>13</v>
      </c>
      <c r="B15" s="27" t="s">
        <v>63</v>
      </c>
      <c r="C15" s="28"/>
      <c r="D15" s="28"/>
      <c r="E15" s="29" t="s">
        <v>26</v>
      </c>
      <c r="F15" s="30" t="n">
        <v>0.25</v>
      </c>
      <c r="G15" s="29" t="s">
        <v>27</v>
      </c>
      <c r="H15" s="30" t="n">
        <f aca="false">(F15*10^6)/(45*10^6)</f>
        <v>0.00555555555555556</v>
      </c>
      <c r="I15" s="29" t="s">
        <v>28</v>
      </c>
      <c r="J15" s="31" t="n">
        <v>31200</v>
      </c>
      <c r="K15" s="32" t="s">
        <v>29</v>
      </c>
      <c r="L15" s="33" t="s">
        <v>60</v>
      </c>
      <c r="M15" s="34" t="n">
        <f aca="false">(F15*10^9)*J15</f>
        <v>7800000000000</v>
      </c>
      <c r="N15" s="35" t="s">
        <v>64</v>
      </c>
      <c r="O15" s="34" t="n">
        <f aca="false">M15/(45*10^6)</f>
        <v>173333.333333333</v>
      </c>
      <c r="P15" s="35" t="s">
        <v>65</v>
      </c>
      <c r="AH15" s="0" t="n">
        <v>9</v>
      </c>
    </row>
    <row r="16" customFormat="false" ht="15" hidden="false" customHeight="false" outlineLevel="0" collapsed="false">
      <c r="A16" s="36" t="n">
        <f aca="false">A15+1</f>
        <v>14</v>
      </c>
      <c r="B16" s="37" t="s">
        <v>66</v>
      </c>
      <c r="C16" s="38" t="n">
        <v>100</v>
      </c>
      <c r="D16" s="38" t="n">
        <v>50</v>
      </c>
      <c r="E16" s="37" t="s">
        <v>34</v>
      </c>
      <c r="F16" s="39" t="n">
        <v>92</v>
      </c>
      <c r="G16" s="37" t="s">
        <v>35</v>
      </c>
      <c r="H16" s="39" t="n">
        <f aca="false">(F16*10^9)/(45*10^6)</f>
        <v>2044.44444444444</v>
      </c>
      <c r="I16" s="37" t="s">
        <v>28</v>
      </c>
      <c r="J16" s="40"/>
      <c r="K16" s="41"/>
      <c r="L16" s="42"/>
      <c r="M16" s="43"/>
      <c r="N16" s="44"/>
      <c r="O16" s="43"/>
      <c r="P16" s="44"/>
    </row>
    <row r="17" customFormat="false" ht="15" hidden="false" customHeight="false" outlineLevel="0" collapsed="false">
      <c r="A17" s="45" t="n">
        <f aca="false">A16+1</f>
        <v>15</v>
      </c>
      <c r="B17" s="46" t="s">
        <v>67</v>
      </c>
      <c r="C17" s="28" t="n">
        <v>5</v>
      </c>
      <c r="D17" s="28"/>
      <c r="E17" s="29" t="s">
        <v>26</v>
      </c>
      <c r="F17" s="30" t="n">
        <v>5.7</v>
      </c>
      <c r="G17" s="29" t="s">
        <v>27</v>
      </c>
      <c r="H17" s="30" t="n">
        <f aca="false">(F17*10^6)/(45*10^6)</f>
        <v>0.126666666666667</v>
      </c>
      <c r="I17" s="29" t="s">
        <v>28</v>
      </c>
      <c r="J17" s="31" t="n">
        <v>170</v>
      </c>
      <c r="K17" s="32" t="s">
        <v>29</v>
      </c>
      <c r="L17" s="33" t="s">
        <v>68</v>
      </c>
      <c r="M17" s="34" t="n">
        <f aca="false">(F17*10^6)*J17</f>
        <v>969000000</v>
      </c>
      <c r="N17" s="47" t="s">
        <v>69</v>
      </c>
      <c r="O17" s="34" t="n">
        <f aca="false">M17/(45*10^6)</f>
        <v>21.5333333333333</v>
      </c>
      <c r="P17" s="35" t="s">
        <v>70</v>
      </c>
    </row>
    <row r="18" customFormat="false" ht="15" hidden="false" customHeight="false" outlineLevel="0" collapsed="false">
      <c r="A18" s="45" t="n">
        <f aca="false">A17+1</f>
        <v>16</v>
      </c>
      <c r="B18" s="27" t="s">
        <v>71</v>
      </c>
      <c r="C18" s="28" t="n">
        <v>2</v>
      </c>
      <c r="D18" s="28"/>
      <c r="E18" s="29" t="s">
        <v>26</v>
      </c>
      <c r="F18" s="30" t="n">
        <v>0.54</v>
      </c>
      <c r="G18" s="29" t="s">
        <v>27</v>
      </c>
      <c r="H18" s="30" t="n">
        <f aca="false">(F18*10^6)/(45*10^6)</f>
        <v>0.012</v>
      </c>
      <c r="I18" s="29" t="s">
        <v>28</v>
      </c>
      <c r="J18" s="31" t="n">
        <v>310</v>
      </c>
      <c r="K18" s="32" t="s">
        <v>29</v>
      </c>
      <c r="L18" s="33" t="s">
        <v>68</v>
      </c>
      <c r="M18" s="34" t="n">
        <f aca="false">F18*10^6*J18</f>
        <v>167400000</v>
      </c>
      <c r="N18" s="35" t="s">
        <v>72</v>
      </c>
      <c r="O18" s="34" t="n">
        <f aca="false">M18/(45*10^6)</f>
        <v>3.72</v>
      </c>
      <c r="P18" s="35" t="s">
        <v>73</v>
      </c>
    </row>
    <row r="19" customFormat="false" ht="15" hidden="false" customHeight="false" outlineLevel="0" collapsed="false">
      <c r="A19" s="45" t="n">
        <f aca="false">A18+1</f>
        <v>17</v>
      </c>
      <c r="B19" s="27" t="s">
        <v>74</v>
      </c>
      <c r="C19" s="28" t="n">
        <v>19</v>
      </c>
      <c r="D19" s="28" t="n">
        <v>5</v>
      </c>
      <c r="E19" s="48"/>
      <c r="F19" s="30" t="n">
        <v>503</v>
      </c>
      <c r="G19" s="29" t="s">
        <v>27</v>
      </c>
      <c r="H19" s="30" t="n">
        <f aca="false">(F19*10^6)/(45*10^6)</f>
        <v>11.1777777777778</v>
      </c>
      <c r="I19" s="29" t="s">
        <v>28</v>
      </c>
      <c r="J19" s="31" t="n">
        <v>60</v>
      </c>
      <c r="K19" s="32" t="s">
        <v>29</v>
      </c>
      <c r="L19" s="33" t="s">
        <v>68</v>
      </c>
      <c r="M19" s="34" t="n">
        <f aca="false">F19*10^6*J19</f>
        <v>30180000000</v>
      </c>
      <c r="N19" s="47" t="s">
        <v>75</v>
      </c>
      <c r="O19" s="34" t="n">
        <f aca="false">M19/(45*10^6)</f>
        <v>670.666666666667</v>
      </c>
      <c r="P19" s="49" t="s">
        <v>76</v>
      </c>
    </row>
    <row r="20" customFormat="false" ht="27.75" hidden="false" customHeight="false" outlineLevel="0" collapsed="false">
      <c r="A20" s="45" t="n">
        <f aca="false">A19+1</f>
        <v>18</v>
      </c>
      <c r="B20" s="27" t="s">
        <v>77</v>
      </c>
      <c r="C20" s="28" t="n">
        <v>5</v>
      </c>
      <c r="D20" s="28"/>
      <c r="E20" s="29" t="s">
        <v>26</v>
      </c>
      <c r="F20" s="30" t="n">
        <v>686</v>
      </c>
      <c r="G20" s="29" t="s">
        <v>27</v>
      </c>
      <c r="H20" s="30" t="n">
        <f aca="false">(F20*10^6)/(45*10^6)</f>
        <v>15.2444444444444</v>
      </c>
      <c r="I20" s="29" t="s">
        <v>28</v>
      </c>
      <c r="J20" s="31" t="n">
        <v>50</v>
      </c>
      <c r="K20" s="32" t="s">
        <v>29</v>
      </c>
      <c r="L20" s="33" t="s">
        <v>68</v>
      </c>
      <c r="M20" s="34" t="n">
        <f aca="false">F20*10^6*J20</f>
        <v>34300000000</v>
      </c>
      <c r="N20" s="35" t="s">
        <v>78</v>
      </c>
      <c r="O20" s="34" t="n">
        <f aca="false">M20/(45*10^6)</f>
        <v>762.222222222222</v>
      </c>
      <c r="P20" s="35" t="s">
        <v>79</v>
      </c>
    </row>
    <row r="21" customFormat="false" ht="15" hidden="false" customHeight="false" outlineLevel="0" collapsed="false">
      <c r="A21" s="45" t="n">
        <f aca="false">A20+1</f>
        <v>19</v>
      </c>
      <c r="B21" s="27" t="s">
        <v>80</v>
      </c>
      <c r="C21" s="28" t="n">
        <v>19</v>
      </c>
      <c r="D21" s="28" t="n">
        <v>6</v>
      </c>
      <c r="E21" s="29" t="s">
        <v>34</v>
      </c>
      <c r="F21" s="30" t="n">
        <v>90</v>
      </c>
      <c r="G21" s="29" t="s">
        <v>35</v>
      </c>
      <c r="H21" s="30" t="n">
        <f aca="false">(F21*10^9)/(45*10^6)</f>
        <v>2000</v>
      </c>
      <c r="I21" s="29" t="s">
        <v>28</v>
      </c>
      <c r="J21" s="31" t="n">
        <v>40</v>
      </c>
      <c r="K21" s="32" t="s">
        <v>29</v>
      </c>
      <c r="L21" s="33" t="s">
        <v>68</v>
      </c>
      <c r="M21" s="34" t="n">
        <f aca="false">F21*10^9*J21</f>
        <v>3600000000000</v>
      </c>
      <c r="N21" s="35" t="s">
        <v>81</v>
      </c>
      <c r="O21" s="34" t="n">
        <f aca="false">M21/(45*10^6)</f>
        <v>80000</v>
      </c>
      <c r="P21" s="35" t="s">
        <v>82</v>
      </c>
    </row>
    <row r="22" customFormat="false" ht="15" hidden="false" customHeight="false" outlineLevel="0" collapsed="false">
      <c r="A22" s="36" t="n">
        <f aca="false">A21+1</f>
        <v>20</v>
      </c>
      <c r="B22" s="37" t="s">
        <v>83</v>
      </c>
      <c r="C22" s="50" t="n">
        <v>13351</v>
      </c>
      <c r="D22" s="38" t="n">
        <v>4681</v>
      </c>
      <c r="E22" s="37" t="s">
        <v>34</v>
      </c>
      <c r="F22" s="39" t="n">
        <v>61</v>
      </c>
      <c r="G22" s="37" t="s">
        <v>35</v>
      </c>
      <c r="H22" s="39" t="n">
        <f aca="false">(F22*10^9)/(45*10^6)</f>
        <v>1355.55555555556</v>
      </c>
      <c r="I22" s="37" t="s">
        <v>28</v>
      </c>
      <c r="J22" s="40"/>
      <c r="K22" s="41"/>
      <c r="L22" s="42"/>
      <c r="M22" s="43"/>
      <c r="N22" s="44"/>
      <c r="O22" s="43"/>
      <c r="P22" s="44"/>
    </row>
    <row r="23" customFormat="false" ht="27.75" hidden="false" customHeight="false" outlineLevel="0" collapsed="false">
      <c r="A23" s="45" t="n">
        <f aca="false">A22+1</f>
        <v>21</v>
      </c>
      <c r="B23" s="46" t="s">
        <v>84</v>
      </c>
      <c r="C23" s="28" t="n">
        <v>8</v>
      </c>
      <c r="D23" s="28" t="n">
        <v>1</v>
      </c>
      <c r="E23" s="29" t="s">
        <v>26</v>
      </c>
      <c r="F23" s="30" t="n">
        <v>2.9</v>
      </c>
      <c r="G23" s="29" t="s">
        <v>27</v>
      </c>
      <c r="H23" s="30" t="n">
        <f aca="false">(F23*10^6)/(45*10^6)</f>
        <v>0.0644444444444444</v>
      </c>
      <c r="I23" s="29" t="s">
        <v>28</v>
      </c>
      <c r="J23" s="31" t="n">
        <v>3</v>
      </c>
      <c r="K23" s="32" t="s">
        <v>29</v>
      </c>
      <c r="L23" s="33" t="s">
        <v>85</v>
      </c>
      <c r="M23" s="34" t="n">
        <f aca="false">F23*10^6*J23</f>
        <v>8700000</v>
      </c>
      <c r="N23" s="35" t="s">
        <v>86</v>
      </c>
      <c r="O23" s="34" t="n">
        <f aca="false">M23/(45*10^6)</f>
        <v>0.193333333333333</v>
      </c>
      <c r="P23" s="35" t="s">
        <v>87</v>
      </c>
    </row>
    <row r="24" customFormat="false" ht="15" hidden="false" customHeight="false" outlineLevel="0" collapsed="false">
      <c r="A24" s="45" t="n">
        <f aca="false">A23+1</f>
        <v>22</v>
      </c>
      <c r="B24" s="27" t="s">
        <v>88</v>
      </c>
      <c r="C24" s="28" t="n">
        <v>12</v>
      </c>
      <c r="D24" s="28" t="n">
        <v>4</v>
      </c>
      <c r="E24" s="29" t="s">
        <v>26</v>
      </c>
      <c r="F24" s="30" t="n">
        <v>502</v>
      </c>
      <c r="G24" s="29" t="s">
        <v>27</v>
      </c>
      <c r="H24" s="30" t="n">
        <f aca="false">(F24*10^6)/(45*10^6)</f>
        <v>11.1555555555556</v>
      </c>
      <c r="I24" s="29" t="s">
        <v>28</v>
      </c>
      <c r="J24" s="31" t="n">
        <v>2</v>
      </c>
      <c r="K24" s="32" t="s">
        <v>29</v>
      </c>
      <c r="L24" s="33" t="s">
        <v>89</v>
      </c>
      <c r="M24" s="34" t="n">
        <f aca="false">D24*10^6*J24</f>
        <v>8000000</v>
      </c>
      <c r="N24" s="35" t="s">
        <v>90</v>
      </c>
      <c r="O24" s="34" t="n">
        <f aca="false">M24/(45*10^6)</f>
        <v>0.177777777777778</v>
      </c>
      <c r="P24" s="35" t="s">
        <v>91</v>
      </c>
    </row>
    <row r="25" customFormat="false" ht="15" hidden="false" customHeight="false" outlineLevel="0" collapsed="false">
      <c r="A25" s="45" t="n">
        <f aca="false">A24+1</f>
        <v>23</v>
      </c>
      <c r="B25" s="27" t="s">
        <v>92</v>
      </c>
      <c r="C25" s="28" t="n">
        <v>15</v>
      </c>
      <c r="D25" s="28" t="n">
        <v>4</v>
      </c>
      <c r="E25" s="29" t="s">
        <v>26</v>
      </c>
      <c r="F25" s="30" t="n">
        <v>255</v>
      </c>
      <c r="G25" s="29" t="s">
        <v>27</v>
      </c>
      <c r="H25" s="30" t="n">
        <f aca="false">(F25*10^6)/(45*10^6)</f>
        <v>5.66666666666667</v>
      </c>
      <c r="I25" s="29" t="s">
        <v>28</v>
      </c>
      <c r="J25" s="31" t="n">
        <v>3</v>
      </c>
      <c r="K25" s="32" t="s">
        <v>29</v>
      </c>
      <c r="L25" s="33" t="s">
        <v>85</v>
      </c>
      <c r="M25" s="34" t="n">
        <f aca="false">F25*10^6*J25</f>
        <v>765000000</v>
      </c>
      <c r="N25" s="35" t="s">
        <v>93</v>
      </c>
      <c r="O25" s="34" t="n">
        <f aca="false">M25/(45*10^6)</f>
        <v>17</v>
      </c>
      <c r="P25" s="35" t="s">
        <v>94</v>
      </c>
    </row>
    <row r="26" customFormat="false" ht="15" hidden="false" customHeight="false" outlineLevel="0" collapsed="false">
      <c r="A26" s="45" t="n">
        <f aca="false">A25+1</f>
        <v>24</v>
      </c>
      <c r="B26" s="27" t="s">
        <v>95</v>
      </c>
      <c r="C26" s="28" t="n">
        <v>25</v>
      </c>
      <c r="D26" s="28" t="n">
        <v>5</v>
      </c>
      <c r="E26" s="29" t="s">
        <v>26</v>
      </c>
      <c r="F26" s="30" t="n">
        <v>54</v>
      </c>
      <c r="G26" s="29" t="s">
        <v>27</v>
      </c>
      <c r="H26" s="30" t="n">
        <f aca="false">(F26*10^6)/(45*10^6)</f>
        <v>1.2</v>
      </c>
      <c r="I26" s="29" t="s">
        <v>28</v>
      </c>
      <c r="J26" s="31" t="n">
        <v>4</v>
      </c>
      <c r="K26" s="32" t="s">
        <v>29</v>
      </c>
      <c r="L26" s="33" t="s">
        <v>85</v>
      </c>
      <c r="M26" s="34" t="n">
        <f aca="false">F26*10^6*J26</f>
        <v>216000000</v>
      </c>
      <c r="N26" s="35" t="s">
        <v>96</v>
      </c>
      <c r="O26" s="34" t="n">
        <f aca="false">M26/(45*10^6)</f>
        <v>4.8</v>
      </c>
      <c r="P26" s="35" t="s">
        <v>97</v>
      </c>
    </row>
    <row r="27" customFormat="false" ht="15" hidden="false" customHeight="false" outlineLevel="0" collapsed="false">
      <c r="A27" s="45" t="n">
        <f aca="false">A26+1</f>
        <v>25</v>
      </c>
      <c r="B27" s="27" t="s">
        <v>98</v>
      </c>
      <c r="C27" s="28" t="n">
        <v>16</v>
      </c>
      <c r="D27" s="28" t="n">
        <v>1</v>
      </c>
      <c r="E27" s="29" t="s">
        <v>26</v>
      </c>
      <c r="F27" s="30" t="n">
        <v>54</v>
      </c>
      <c r="G27" s="29" t="s">
        <v>27</v>
      </c>
      <c r="H27" s="30" t="n">
        <f aca="false">(F27*10^6)/(45*10^6)</f>
        <v>1.2</v>
      </c>
      <c r="I27" s="29" t="s">
        <v>28</v>
      </c>
      <c r="J27" s="31" t="n">
        <v>4</v>
      </c>
      <c r="K27" s="32" t="s">
        <v>29</v>
      </c>
      <c r="L27" s="33" t="s">
        <v>85</v>
      </c>
      <c r="M27" s="34" t="n">
        <f aca="false">F27*10^6*J27</f>
        <v>216000000</v>
      </c>
      <c r="N27" s="35" t="s">
        <v>96</v>
      </c>
      <c r="O27" s="34" t="n">
        <f aca="false">M27/(45*10^6)</f>
        <v>4.8</v>
      </c>
      <c r="P27" s="35" t="s">
        <v>97</v>
      </c>
    </row>
    <row r="28" customFormat="false" ht="15" hidden="false" customHeight="false" outlineLevel="0" collapsed="false">
      <c r="A28" s="45" t="n">
        <f aca="false">A27+1</f>
        <v>26</v>
      </c>
      <c r="B28" s="27" t="s">
        <v>99</v>
      </c>
      <c r="C28" s="28" t="n">
        <v>738</v>
      </c>
      <c r="D28" s="28" t="n">
        <v>326</v>
      </c>
      <c r="E28" s="29" t="s">
        <v>34</v>
      </c>
      <c r="F28" s="30" t="n">
        <v>11</v>
      </c>
      <c r="G28" s="29" t="s">
        <v>35</v>
      </c>
      <c r="H28" s="30" t="n">
        <f aca="false">(F28*10^9)/(45*10^6)</f>
        <v>244.444444444444</v>
      </c>
      <c r="I28" s="29" t="s">
        <v>28</v>
      </c>
      <c r="J28" s="31" t="n">
        <v>4</v>
      </c>
      <c r="K28" s="32" t="s">
        <v>29</v>
      </c>
      <c r="L28" s="33" t="s">
        <v>89</v>
      </c>
      <c r="M28" s="34" t="n">
        <f aca="false">F28*10^9*J28</f>
        <v>44000000000</v>
      </c>
      <c r="N28" s="35" t="s">
        <v>100</v>
      </c>
      <c r="O28" s="34" t="n">
        <f aca="false">M28/(45*10^6)</f>
        <v>977.777777777778</v>
      </c>
      <c r="P28" s="35" t="s">
        <v>101</v>
      </c>
    </row>
    <row r="29" customFormat="false" ht="15" hidden="false" customHeight="false" outlineLevel="0" collapsed="false">
      <c r="A29" s="45" t="n">
        <f aca="false">A28+1</f>
        <v>27</v>
      </c>
      <c r="B29" s="27" t="s">
        <v>102</v>
      </c>
      <c r="C29" s="28" t="n">
        <v>198</v>
      </c>
      <c r="D29" s="28"/>
      <c r="E29" s="29" t="s">
        <v>26</v>
      </c>
      <c r="F29" s="30" t="n">
        <v>207</v>
      </c>
      <c r="G29" s="29" t="s">
        <v>27</v>
      </c>
      <c r="H29" s="30" t="n">
        <f aca="false">(F29*10^6)/(45*10^6)</f>
        <v>4.6</v>
      </c>
      <c r="I29" s="29" t="s">
        <v>28</v>
      </c>
      <c r="J29" s="31" t="n">
        <v>5</v>
      </c>
      <c r="K29" s="32" t="s">
        <v>29</v>
      </c>
      <c r="L29" s="33" t="s">
        <v>85</v>
      </c>
      <c r="M29" s="34" t="n">
        <f aca="false">F29*10^6*J29</f>
        <v>1035000000</v>
      </c>
      <c r="N29" s="35" t="s">
        <v>103</v>
      </c>
      <c r="O29" s="34" t="n">
        <f aca="false">M29/(45*10^6)</f>
        <v>23</v>
      </c>
      <c r="P29" s="35" t="s">
        <v>104</v>
      </c>
    </row>
    <row r="30" customFormat="false" ht="15" hidden="false" customHeight="false" outlineLevel="0" collapsed="false">
      <c r="A30" s="45" t="n">
        <f aca="false">A29+1</f>
        <v>28</v>
      </c>
      <c r="B30" s="27" t="s">
        <v>105</v>
      </c>
      <c r="C30" s="28" t="n">
        <v>8</v>
      </c>
      <c r="D30" s="28"/>
      <c r="E30" s="29" t="s">
        <v>26</v>
      </c>
      <c r="F30" s="30" t="n">
        <v>6.6</v>
      </c>
      <c r="G30" s="29" t="s">
        <v>27</v>
      </c>
      <c r="H30" s="30" t="n">
        <f aca="false">(F30*10^6)/(45*10^6)</f>
        <v>0.146666666666667</v>
      </c>
      <c r="I30" s="29" t="s">
        <v>28</v>
      </c>
      <c r="J30" s="31" t="n">
        <v>4</v>
      </c>
      <c r="K30" s="32" t="s">
        <v>29</v>
      </c>
      <c r="L30" s="33" t="s">
        <v>85</v>
      </c>
      <c r="M30" s="34" t="n">
        <f aca="false">F30*10^6*J30</f>
        <v>26400000</v>
      </c>
      <c r="N30" s="35" t="s">
        <v>106</v>
      </c>
      <c r="O30" s="34" t="n">
        <f aca="false">M30/(45*10^6)</f>
        <v>0.586666666666667</v>
      </c>
      <c r="P30" s="35" t="s">
        <v>107</v>
      </c>
    </row>
    <row r="31" customFormat="false" ht="15" hidden="false" customHeight="false" outlineLevel="0" collapsed="false">
      <c r="A31" s="45" t="n">
        <f aca="false">A30+1</f>
        <v>29</v>
      </c>
      <c r="B31" s="27" t="s">
        <v>108</v>
      </c>
      <c r="C31" s="28" t="n">
        <v>6</v>
      </c>
      <c r="D31" s="28" t="n">
        <v>2</v>
      </c>
      <c r="E31" s="29" t="s">
        <v>26</v>
      </c>
      <c r="F31" s="30" t="n">
        <v>5.6</v>
      </c>
      <c r="G31" s="29" t="s">
        <v>27</v>
      </c>
      <c r="H31" s="30" t="n">
        <f aca="false">(F31*10^6)/(45*10^6)</f>
        <v>0.124444444444444</v>
      </c>
      <c r="I31" s="29" t="s">
        <v>28</v>
      </c>
      <c r="J31" s="31" t="n">
        <v>4</v>
      </c>
      <c r="K31" s="32" t="s">
        <v>29</v>
      </c>
      <c r="L31" s="33" t="s">
        <v>85</v>
      </c>
      <c r="M31" s="34" t="n">
        <f aca="false">F31*10^6*J31</f>
        <v>22400000</v>
      </c>
      <c r="N31" s="35" t="s">
        <v>109</v>
      </c>
      <c r="O31" s="34" t="n">
        <f aca="false">M31/(45*10^6)</f>
        <v>0.497777777777778</v>
      </c>
      <c r="P31" s="35" t="s">
        <v>110</v>
      </c>
    </row>
    <row r="32" customFormat="false" ht="15" hidden="false" customHeight="false" outlineLevel="0" collapsed="false">
      <c r="A32" s="45" t="n">
        <f aca="false">A31+1</f>
        <v>30</v>
      </c>
      <c r="B32" s="27" t="s">
        <v>111</v>
      </c>
      <c r="C32" s="28" t="n">
        <v>6</v>
      </c>
      <c r="D32" s="28" t="n">
        <v>1</v>
      </c>
      <c r="E32" s="29" t="s">
        <v>26</v>
      </c>
      <c r="F32" s="30" t="n">
        <v>14</v>
      </c>
      <c r="G32" s="29" t="s">
        <v>27</v>
      </c>
      <c r="H32" s="30" t="n">
        <f aca="false">(F32*10^6)/(45*10^6)</f>
        <v>0.311111111111111</v>
      </c>
      <c r="I32" s="29" t="s">
        <v>28</v>
      </c>
      <c r="J32" s="31" t="n">
        <v>4</v>
      </c>
      <c r="K32" s="32" t="s">
        <v>29</v>
      </c>
      <c r="L32" s="33" t="s">
        <v>85</v>
      </c>
      <c r="M32" s="34" t="n">
        <f aca="false">F32*10^6*J32</f>
        <v>56000000</v>
      </c>
      <c r="N32" s="35" t="s">
        <v>112</v>
      </c>
      <c r="O32" s="34" t="n">
        <f aca="false">M32/(45*10^6)</f>
        <v>1.24444444444444</v>
      </c>
      <c r="P32" s="51" t="s">
        <v>113</v>
      </c>
    </row>
    <row r="33" customFormat="false" ht="15" hidden="false" customHeight="false" outlineLevel="0" collapsed="false">
      <c r="A33" s="36" t="n">
        <f aca="false">A32+1</f>
        <v>31</v>
      </c>
      <c r="B33" s="37" t="s">
        <v>114</v>
      </c>
      <c r="C33" s="38"/>
      <c r="D33" s="38"/>
      <c r="E33" s="37"/>
      <c r="F33" s="39"/>
      <c r="G33" s="37"/>
      <c r="H33" s="39"/>
      <c r="I33" s="37"/>
      <c r="J33" s="40"/>
      <c r="K33" s="41"/>
      <c r="L33" s="42"/>
      <c r="M33" s="43"/>
      <c r="N33" s="44"/>
      <c r="O33" s="43"/>
      <c r="P33" s="44"/>
    </row>
    <row r="34" customFormat="false" ht="15" hidden="false" customHeight="false" outlineLevel="0" collapsed="false">
      <c r="A34" s="45" t="n">
        <f aca="false">A33+1</f>
        <v>32</v>
      </c>
      <c r="B34" s="46" t="s">
        <v>115</v>
      </c>
      <c r="C34" s="52" t="n">
        <v>73</v>
      </c>
      <c r="D34" s="52" t="n">
        <v>5</v>
      </c>
      <c r="E34" s="53" t="s">
        <v>26</v>
      </c>
      <c r="F34" s="54" t="n">
        <v>302</v>
      </c>
      <c r="G34" s="53" t="s">
        <v>27</v>
      </c>
      <c r="H34" s="54" t="n">
        <f aca="false">(F34*10^6)/(45*10^6)</f>
        <v>6.71111111111111</v>
      </c>
      <c r="I34" s="53" t="s">
        <v>28</v>
      </c>
      <c r="J34" s="55" t="n">
        <v>3</v>
      </c>
      <c r="K34" s="56" t="s">
        <v>29</v>
      </c>
      <c r="L34" s="57" t="s">
        <v>85</v>
      </c>
      <c r="M34" s="58" t="n">
        <f aca="false">F34*10^6*J34</f>
        <v>906000000</v>
      </c>
      <c r="N34" s="59" t="s">
        <v>116</v>
      </c>
      <c r="O34" s="58" t="n">
        <f aca="false">M34/(45*10^6)</f>
        <v>20.1333333333333</v>
      </c>
      <c r="P34" s="59" t="s">
        <v>117</v>
      </c>
    </row>
    <row r="35" customFormat="false" ht="27.75" hidden="false" customHeight="false" outlineLevel="0" collapsed="false">
      <c r="A35" s="45" t="n">
        <f aca="false">A34+1</f>
        <v>33</v>
      </c>
      <c r="B35" s="27" t="s">
        <v>118</v>
      </c>
      <c r="C35" s="28" t="n">
        <v>133</v>
      </c>
      <c r="D35" s="28" t="n">
        <v>35</v>
      </c>
      <c r="E35" s="29" t="s">
        <v>26</v>
      </c>
      <c r="F35" s="30" t="n">
        <v>723</v>
      </c>
      <c r="G35" s="29" t="s">
        <v>27</v>
      </c>
      <c r="H35" s="30" t="n">
        <f aca="false">(F35*10^6)/(45*10^6)</f>
        <v>16.0666666666667</v>
      </c>
      <c r="I35" s="29" t="s">
        <v>28</v>
      </c>
      <c r="J35" s="31" t="n">
        <v>3</v>
      </c>
      <c r="K35" s="32" t="s">
        <v>29</v>
      </c>
      <c r="L35" s="33" t="s">
        <v>89</v>
      </c>
      <c r="M35" s="34" t="n">
        <f aca="false">F35*10^6*J35</f>
        <v>2169000000</v>
      </c>
      <c r="N35" s="35" t="s">
        <v>119</v>
      </c>
      <c r="O35" s="34" t="n">
        <f aca="false">M35/(45*10^6)</f>
        <v>48.2</v>
      </c>
      <c r="P35" s="51" t="s">
        <v>120</v>
      </c>
    </row>
    <row r="36" customFormat="false" ht="15" hidden="false" customHeight="false" outlineLevel="0" collapsed="false">
      <c r="A36" s="45" t="n">
        <f aca="false">A35+1</f>
        <v>34</v>
      </c>
      <c r="B36" s="27" t="s">
        <v>121</v>
      </c>
      <c r="C36" s="28" t="n">
        <v>31</v>
      </c>
      <c r="D36" s="28" t="n">
        <v>9</v>
      </c>
      <c r="E36" s="29" t="s">
        <v>34</v>
      </c>
      <c r="F36" s="30" t="n">
        <v>4.3</v>
      </c>
      <c r="G36" s="29" t="s">
        <v>35</v>
      </c>
      <c r="H36" s="30" t="n">
        <f aca="false">(F36*10^9)/(45*10^6)</f>
        <v>95.5555555555556</v>
      </c>
      <c r="I36" s="29" t="s">
        <v>28</v>
      </c>
      <c r="J36" s="31" t="n">
        <v>2</v>
      </c>
      <c r="K36" s="32" t="s">
        <v>29</v>
      </c>
      <c r="L36" s="33" t="s">
        <v>85</v>
      </c>
      <c r="M36" s="34" t="n">
        <f aca="false">F36*10^9*J36</f>
        <v>8600000000</v>
      </c>
      <c r="N36" s="35" t="s">
        <v>122</v>
      </c>
      <c r="O36" s="34" t="n">
        <f aca="false">M36/(45*10^6)</f>
        <v>191.111111111111</v>
      </c>
      <c r="P36" s="49" t="s">
        <v>123</v>
      </c>
    </row>
    <row r="37" customFormat="false" ht="15" hidden="false" customHeight="false" outlineLevel="0" collapsed="false">
      <c r="A37" s="45" t="n">
        <f aca="false">A36+1</f>
        <v>35</v>
      </c>
      <c r="B37" s="27" t="s">
        <v>124</v>
      </c>
      <c r="C37" s="28" t="n">
        <v>10295</v>
      </c>
      <c r="D37" s="28" t="n">
        <v>3979</v>
      </c>
      <c r="E37" s="29" t="s">
        <v>34</v>
      </c>
      <c r="F37" s="30" t="n">
        <v>19.4</v>
      </c>
      <c r="G37" s="29" t="s">
        <v>35</v>
      </c>
      <c r="H37" s="30" t="n">
        <f aca="false">(F37*10^9)/(45*10^6)</f>
        <v>431.111111111111</v>
      </c>
      <c r="I37" s="29" t="s">
        <v>28</v>
      </c>
      <c r="J37" s="31" t="n">
        <v>4</v>
      </c>
      <c r="K37" s="32" t="s">
        <v>29</v>
      </c>
      <c r="L37" s="33" t="s">
        <v>89</v>
      </c>
      <c r="M37" s="34" t="n">
        <f aca="false">F37*10^9*J37</f>
        <v>77600000000</v>
      </c>
      <c r="N37" s="35" t="s">
        <v>125</v>
      </c>
      <c r="O37" s="34" t="n">
        <f aca="false">M37/(45*10^6)</f>
        <v>1724.44444444444</v>
      </c>
      <c r="P37" s="35" t="s">
        <v>126</v>
      </c>
    </row>
    <row r="38" customFormat="false" ht="15" hidden="false" customHeight="false" outlineLevel="0" collapsed="false">
      <c r="A38" s="36" t="n">
        <f aca="false">A37+1</f>
        <v>36</v>
      </c>
      <c r="B38" s="37" t="s">
        <v>127</v>
      </c>
      <c r="C38" s="38"/>
      <c r="D38" s="38"/>
      <c r="E38" s="37"/>
      <c r="F38" s="39"/>
      <c r="G38" s="37"/>
      <c r="H38" s="39"/>
      <c r="I38" s="37"/>
      <c r="J38" s="40"/>
      <c r="K38" s="41"/>
      <c r="L38" s="42"/>
      <c r="M38" s="43"/>
      <c r="N38" s="44"/>
      <c r="O38" s="43"/>
      <c r="P38" s="44"/>
    </row>
    <row r="39" customFormat="false" ht="15" hidden="false" customHeight="false" outlineLevel="0" collapsed="false">
      <c r="A39" s="45" t="n">
        <f aca="false">A38+1</f>
        <v>37</v>
      </c>
      <c r="B39" s="46" t="s">
        <v>128</v>
      </c>
      <c r="C39" s="52" t="n">
        <v>1148</v>
      </c>
      <c r="D39" s="52" t="n">
        <v>154</v>
      </c>
      <c r="E39" s="53" t="s">
        <v>34</v>
      </c>
      <c r="F39" s="54" t="n">
        <v>4.1</v>
      </c>
      <c r="G39" s="53" t="s">
        <v>35</v>
      </c>
      <c r="H39" s="54" t="n">
        <f aca="false">(F39*10^9)/(45*10^6)</f>
        <v>91.1111111111111</v>
      </c>
      <c r="I39" s="53" t="s">
        <v>28</v>
      </c>
      <c r="J39" s="55" t="n">
        <v>3</v>
      </c>
      <c r="K39" s="56" t="s">
        <v>29</v>
      </c>
      <c r="L39" s="57" t="s">
        <v>85</v>
      </c>
      <c r="M39" s="58" t="n">
        <f aca="false">F39*10^9*J39</f>
        <v>12300000000</v>
      </c>
      <c r="N39" s="59" t="s">
        <v>129</v>
      </c>
      <c r="O39" s="58" t="n">
        <f aca="false">M39/(45*10^6)</f>
        <v>273.333333333333</v>
      </c>
      <c r="P39" s="59" t="s">
        <v>130</v>
      </c>
    </row>
    <row r="40" customFormat="false" ht="15" hidden="false" customHeight="false" outlineLevel="0" collapsed="false">
      <c r="A40" s="45" t="n">
        <f aca="false">A39+1</f>
        <v>38</v>
      </c>
      <c r="B40" s="27" t="s">
        <v>131</v>
      </c>
      <c r="C40" s="28" t="n">
        <v>25</v>
      </c>
      <c r="D40" s="28" t="n">
        <v>2</v>
      </c>
      <c r="E40" s="29" t="s">
        <v>26</v>
      </c>
      <c r="F40" s="30" t="n">
        <v>280</v>
      </c>
      <c r="G40" s="29" t="s">
        <v>27</v>
      </c>
      <c r="H40" s="30" t="n">
        <f aca="false">(F40*10^6)/(45*10^6)</f>
        <v>6.22222222222222</v>
      </c>
      <c r="I40" s="29" t="s">
        <v>28</v>
      </c>
      <c r="J40" s="31" t="n">
        <v>2</v>
      </c>
      <c r="K40" s="32" t="s">
        <v>29</v>
      </c>
      <c r="L40" s="33" t="s">
        <v>85</v>
      </c>
      <c r="M40" s="34" t="n">
        <f aca="false">F40*10^6*J40</f>
        <v>560000000</v>
      </c>
      <c r="N40" s="35" t="s">
        <v>132</v>
      </c>
      <c r="O40" s="34" t="n">
        <f aca="false">M40/(45*10^6)</f>
        <v>12.4444444444444</v>
      </c>
      <c r="P40" s="35" t="s">
        <v>133</v>
      </c>
    </row>
    <row r="41" customFormat="false" ht="15" hidden="false" customHeight="false" outlineLevel="0" collapsed="false">
      <c r="A41" s="45" t="n">
        <f aca="false">A40+1</f>
        <v>39</v>
      </c>
      <c r="B41" s="27" t="s">
        <v>134</v>
      </c>
      <c r="C41" s="28" t="n">
        <v>41</v>
      </c>
      <c r="D41" s="28" t="n">
        <v>1</v>
      </c>
      <c r="E41" s="29" t="s">
        <v>26</v>
      </c>
      <c r="F41" s="30" t="n">
        <v>336</v>
      </c>
      <c r="G41" s="29" t="s">
        <v>27</v>
      </c>
      <c r="H41" s="30" t="n">
        <f aca="false">(F41*10^6)/(45*10^6)</f>
        <v>7.46666666666667</v>
      </c>
      <c r="I41" s="29" t="s">
        <v>28</v>
      </c>
      <c r="J41" s="31" t="n">
        <v>2</v>
      </c>
      <c r="K41" s="32" t="s">
        <v>29</v>
      </c>
      <c r="L41" s="33" t="s">
        <v>85</v>
      </c>
      <c r="M41" s="34" t="n">
        <f aca="false">F41*10^6*J41</f>
        <v>672000000</v>
      </c>
      <c r="N41" s="35" t="s">
        <v>135</v>
      </c>
      <c r="O41" s="34" t="n">
        <f aca="false">M41/(45*10^6)</f>
        <v>14.9333333333333</v>
      </c>
      <c r="P41" s="35" t="s">
        <v>136</v>
      </c>
    </row>
    <row r="42" customFormat="false" ht="15" hidden="false" customHeight="false" outlineLevel="0" collapsed="false">
      <c r="A42" s="45" t="n">
        <f aca="false">A41+1</f>
        <v>40</v>
      </c>
      <c r="B42" s="27" t="s">
        <v>137</v>
      </c>
      <c r="C42" s="28" t="n">
        <v>15</v>
      </c>
      <c r="D42" s="28" t="n">
        <v>2</v>
      </c>
      <c r="E42" s="29" t="s">
        <v>26</v>
      </c>
      <c r="F42" s="30" t="n">
        <v>226</v>
      </c>
      <c r="G42" s="29" t="s">
        <v>27</v>
      </c>
      <c r="H42" s="30" t="n">
        <f aca="false">(F42*10^6)/(45*10^6)</f>
        <v>5.02222222222222</v>
      </c>
      <c r="I42" s="29" t="s">
        <v>28</v>
      </c>
      <c r="J42" s="31" t="n">
        <v>5</v>
      </c>
      <c r="K42" s="32" t="s">
        <v>29</v>
      </c>
      <c r="L42" s="33" t="s">
        <v>85</v>
      </c>
      <c r="M42" s="34" t="n">
        <f aca="false">F42*10^6*J42</f>
        <v>1130000000</v>
      </c>
      <c r="N42" s="35" t="s">
        <v>138</v>
      </c>
      <c r="O42" s="34" t="n">
        <f aca="false">M42/(45*10^6)</f>
        <v>25.1111111111111</v>
      </c>
      <c r="P42" s="51" t="s">
        <v>139</v>
      </c>
    </row>
    <row r="43" customFormat="false" ht="15" hidden="false" customHeight="false" outlineLevel="0" collapsed="false">
      <c r="A43" s="45" t="n">
        <f aca="false">A42+1</f>
        <v>41</v>
      </c>
      <c r="B43" s="27" t="s">
        <v>140</v>
      </c>
      <c r="C43" s="28" t="n">
        <v>11</v>
      </c>
      <c r="D43" s="28" t="n">
        <v>3</v>
      </c>
      <c r="E43" s="29" t="s">
        <v>26</v>
      </c>
      <c r="F43" s="30" t="n">
        <v>139</v>
      </c>
      <c r="G43" s="29" t="s">
        <v>27</v>
      </c>
      <c r="H43" s="30" t="n">
        <f aca="false">(F43*10^6)/(45*10^6)</f>
        <v>3.08888888888889</v>
      </c>
      <c r="I43" s="29" t="s">
        <v>28</v>
      </c>
      <c r="J43" s="31" t="n">
        <v>3</v>
      </c>
      <c r="K43" s="32" t="s">
        <v>29</v>
      </c>
      <c r="L43" s="33" t="s">
        <v>85</v>
      </c>
      <c r="M43" s="34" t="n">
        <f aca="false">F43*10^6*J43</f>
        <v>417000000</v>
      </c>
      <c r="N43" s="35" t="s">
        <v>141</v>
      </c>
      <c r="O43" s="34" t="n">
        <f aca="false">M43/(45*10^6)</f>
        <v>9.26666666666667</v>
      </c>
      <c r="P43" s="35" t="s">
        <v>142</v>
      </c>
    </row>
    <row r="44" customFormat="false" ht="15" hidden="false" customHeight="false" outlineLevel="0" collapsed="false">
      <c r="A44" s="45" t="n">
        <f aca="false">A43+1</f>
        <v>42</v>
      </c>
      <c r="B44" s="27" t="s">
        <v>143</v>
      </c>
      <c r="C44" s="28" t="n">
        <v>37</v>
      </c>
      <c r="D44" s="28" t="n">
        <v>8</v>
      </c>
      <c r="E44" s="29" t="s">
        <v>26</v>
      </c>
      <c r="F44" s="30" t="n">
        <v>647</v>
      </c>
      <c r="G44" s="29" t="s">
        <v>27</v>
      </c>
      <c r="H44" s="30" t="n">
        <f aca="false">(F44*10^6)/(45*10^6)</f>
        <v>14.3777777777778</v>
      </c>
      <c r="I44" s="29" t="s">
        <v>28</v>
      </c>
      <c r="J44" s="31" t="n">
        <v>4</v>
      </c>
      <c r="K44" s="32" t="s">
        <v>29</v>
      </c>
      <c r="L44" s="33" t="s">
        <v>85</v>
      </c>
      <c r="M44" s="34" t="n">
        <f aca="false">F44*10^6*J44</f>
        <v>2588000000</v>
      </c>
      <c r="N44" s="35" t="s">
        <v>144</v>
      </c>
      <c r="O44" s="34" t="n">
        <f aca="false">M44/(45*10^6)</f>
        <v>57.5111111111111</v>
      </c>
      <c r="P44" s="35" t="s">
        <v>145</v>
      </c>
    </row>
    <row r="45" customFormat="false" ht="15" hidden="false" customHeight="false" outlineLevel="0" collapsed="false">
      <c r="A45" s="45" t="n">
        <f aca="false">A44+1</f>
        <v>43</v>
      </c>
      <c r="B45" s="27" t="s">
        <v>146</v>
      </c>
      <c r="C45" s="28" t="n">
        <v>298</v>
      </c>
      <c r="D45" s="28" t="n">
        <v>84</v>
      </c>
      <c r="E45" s="29" t="s">
        <v>26</v>
      </c>
      <c r="F45" s="30" t="n">
        <v>91</v>
      </c>
      <c r="G45" s="29" t="s">
        <v>27</v>
      </c>
      <c r="H45" s="30" t="n">
        <f aca="false">(F45*10^6)/(45*10^6)</f>
        <v>2.02222222222222</v>
      </c>
      <c r="I45" s="29" t="s">
        <v>28</v>
      </c>
      <c r="J45" s="31" t="n">
        <v>3</v>
      </c>
      <c r="K45" s="32" t="s">
        <v>29</v>
      </c>
      <c r="L45" s="33" t="s">
        <v>85</v>
      </c>
      <c r="M45" s="34" t="n">
        <f aca="false">F45*10^6*J45</f>
        <v>273000000</v>
      </c>
      <c r="N45" s="35" t="s">
        <v>147</v>
      </c>
      <c r="O45" s="34" t="n">
        <f aca="false">M45/(45*10^6)</f>
        <v>6.06666666666667</v>
      </c>
      <c r="P45" s="35" t="s">
        <v>148</v>
      </c>
    </row>
    <row r="46" customFormat="false" ht="48.75" hidden="false" customHeight="true" outlineLevel="0" collapsed="false">
      <c r="A46" s="45" t="n">
        <f aca="false">A45+1</f>
        <v>44</v>
      </c>
      <c r="B46" s="27" t="s">
        <v>149</v>
      </c>
      <c r="C46" s="28" t="n">
        <v>181</v>
      </c>
      <c r="D46" s="28" t="n">
        <v>41</v>
      </c>
      <c r="E46" s="29" t="s">
        <v>34</v>
      </c>
      <c r="F46" s="30" t="n">
        <v>18.2</v>
      </c>
      <c r="G46" s="29" t="s">
        <v>35</v>
      </c>
      <c r="H46" s="30" t="n">
        <f aca="false">(F46*10^9)/(45*10^6)</f>
        <v>404.444444444444</v>
      </c>
      <c r="I46" s="29" t="s">
        <v>28</v>
      </c>
      <c r="J46" s="31" t="n">
        <v>2</v>
      </c>
      <c r="K46" s="32" t="s">
        <v>29</v>
      </c>
      <c r="L46" s="33" t="s">
        <v>85</v>
      </c>
      <c r="M46" s="34" t="n">
        <f aca="false">F46*10^9*J46</f>
        <v>36400000000</v>
      </c>
      <c r="N46" s="35" t="s">
        <v>150</v>
      </c>
      <c r="O46" s="34" t="n">
        <f aca="false">M46/(45*10^6)</f>
        <v>808.888888888889</v>
      </c>
      <c r="P46" s="35" t="s">
        <v>151</v>
      </c>
    </row>
    <row r="47" customFormat="false" ht="30.75" hidden="false" customHeight="true" outlineLevel="0" collapsed="false">
      <c r="A47" s="36" t="n">
        <f aca="false">A46+1</f>
        <v>45</v>
      </c>
      <c r="B47" s="60" t="s">
        <v>152</v>
      </c>
      <c r="C47" s="38"/>
      <c r="D47" s="38"/>
      <c r="E47" s="37"/>
      <c r="F47" s="39"/>
      <c r="G47" s="37"/>
      <c r="H47" s="39"/>
      <c r="I47" s="37"/>
      <c r="J47" s="40"/>
      <c r="K47" s="41"/>
      <c r="L47" s="42"/>
      <c r="M47" s="43"/>
      <c r="N47" s="44"/>
      <c r="O47" s="43"/>
      <c r="P47" s="44"/>
    </row>
    <row r="48" customFormat="false" ht="30.75" hidden="false" customHeight="true" outlineLevel="0" collapsed="false">
      <c r="A48" s="45" t="n">
        <f aca="false">A47+1</f>
        <v>46</v>
      </c>
      <c r="B48" s="46" t="s">
        <v>153</v>
      </c>
      <c r="C48" s="52" t="n">
        <v>360</v>
      </c>
      <c r="D48" s="52"/>
      <c r="E48" s="53"/>
      <c r="F48" s="54" t="n">
        <v>360</v>
      </c>
      <c r="G48" s="53" t="s">
        <v>27</v>
      </c>
      <c r="H48" s="54" t="n">
        <f aca="false">F48*10^6/(45*10^6)</f>
        <v>8</v>
      </c>
      <c r="I48" s="53" t="s">
        <v>28</v>
      </c>
      <c r="J48" s="55" t="n">
        <v>88.5</v>
      </c>
      <c r="K48" s="56" t="s">
        <v>29</v>
      </c>
      <c r="L48" s="57" t="s">
        <v>154</v>
      </c>
      <c r="M48" s="58" t="n">
        <f aca="false">F48*10^6*J48</f>
        <v>31860000000</v>
      </c>
      <c r="N48" s="59" t="s">
        <v>155</v>
      </c>
      <c r="O48" s="58" t="n">
        <f aca="false">M48/(45*10^6)</f>
        <v>708</v>
      </c>
      <c r="P48" s="59" t="s">
        <v>156</v>
      </c>
    </row>
    <row r="49" customFormat="false" ht="30.75" hidden="false" customHeight="true" outlineLevel="0" collapsed="false">
      <c r="A49" s="45" t="n">
        <f aca="false">A48+1</f>
        <v>47</v>
      </c>
      <c r="B49" s="46" t="s">
        <v>157</v>
      </c>
      <c r="C49" s="52" t="n">
        <v>10</v>
      </c>
      <c r="D49" s="52"/>
      <c r="E49" s="53"/>
      <c r="F49" s="54" t="n">
        <v>10</v>
      </c>
      <c r="G49" s="53" t="s">
        <v>27</v>
      </c>
      <c r="H49" s="54" t="n">
        <f aca="false">F49*10^6/(45*10^6)</f>
        <v>0.222222222222222</v>
      </c>
      <c r="I49" s="53" t="s">
        <v>28</v>
      </c>
      <c r="J49" s="55" t="n">
        <v>22500</v>
      </c>
      <c r="K49" s="56" t="s">
        <v>29</v>
      </c>
      <c r="L49" s="57" t="s">
        <v>158</v>
      </c>
      <c r="M49" s="58" t="n">
        <f aca="false">F49*10^6*J49</f>
        <v>225000000000</v>
      </c>
      <c r="N49" s="59" t="n">
        <f aca="false">F49*10^6*J49</f>
        <v>225000000000</v>
      </c>
      <c r="O49" s="58" t="n">
        <f aca="false">M49/(45*10^6)</f>
        <v>5000</v>
      </c>
      <c r="P49" s="59" t="s">
        <v>159</v>
      </c>
    </row>
    <row r="50" customFormat="false" ht="30.75" hidden="false" customHeight="true" outlineLevel="0" collapsed="false">
      <c r="A50" s="45" t="n">
        <f aca="false">A49+1</f>
        <v>48</v>
      </c>
      <c r="B50" s="27" t="s">
        <v>160</v>
      </c>
      <c r="C50" s="28" t="n">
        <v>96</v>
      </c>
      <c r="D50" s="28"/>
      <c r="E50" s="29"/>
      <c r="F50" s="30" t="n">
        <v>96</v>
      </c>
      <c r="G50" s="29" t="s">
        <v>27</v>
      </c>
      <c r="H50" s="61" t="n">
        <f aca="false">F50*10^6/(45*10^6)</f>
        <v>2.13333333333333</v>
      </c>
      <c r="I50" s="29" t="s">
        <v>28</v>
      </c>
      <c r="J50" s="31" t="n">
        <v>3500</v>
      </c>
      <c r="K50" s="32" t="s">
        <v>29</v>
      </c>
      <c r="L50" s="33" t="s">
        <v>161</v>
      </c>
      <c r="M50" s="34" t="n">
        <f aca="false">F50*10^6*J50</f>
        <v>336000000000</v>
      </c>
      <c r="N50" s="35" t="s">
        <v>162</v>
      </c>
      <c r="O50" s="34" t="n">
        <f aca="false">M50/(45*10^6)</f>
        <v>7466.66666666667</v>
      </c>
      <c r="P50" s="49" t="s">
        <v>163</v>
      </c>
    </row>
    <row r="51" customFormat="false" ht="30.75" hidden="false" customHeight="true" outlineLevel="0" collapsed="false">
      <c r="A51" s="36" t="n">
        <f aca="false">A50+1</f>
        <v>49</v>
      </c>
      <c r="B51" s="60" t="s">
        <v>164</v>
      </c>
      <c r="C51" s="38"/>
      <c r="D51" s="38"/>
      <c r="E51" s="37"/>
      <c r="F51" s="39"/>
      <c r="G51" s="37"/>
      <c r="H51" s="62"/>
      <c r="I51" s="37"/>
      <c r="J51" s="40"/>
      <c r="K51" s="41"/>
      <c r="L51" s="42"/>
      <c r="M51" s="43"/>
      <c r="N51" s="44"/>
      <c r="O51" s="43"/>
      <c r="P51" s="63"/>
    </row>
    <row r="52" customFormat="false" ht="30.75" hidden="false" customHeight="true" outlineLevel="0" collapsed="false">
      <c r="A52" s="45" t="n">
        <f aca="false">A51+1</f>
        <v>50</v>
      </c>
      <c r="B52" s="64" t="s">
        <v>165</v>
      </c>
      <c r="C52" s="65" t="n">
        <v>1.36</v>
      </c>
      <c r="D52" s="52" t="n">
        <v>0.128</v>
      </c>
      <c r="E52" s="66"/>
      <c r="F52" s="67" t="n">
        <v>1.24</v>
      </c>
      <c r="G52" s="66" t="s">
        <v>166</v>
      </c>
      <c r="H52" s="68" t="n">
        <f aca="false">F52/(45*10^6)</f>
        <v>2.75555555555556E-008</v>
      </c>
      <c r="I52" s="66" t="s">
        <v>167</v>
      </c>
      <c r="J52" s="52" t="n">
        <f aca="false">48000/4.1</f>
        <v>11707.3170731707</v>
      </c>
      <c r="K52" s="56" t="s">
        <v>168</v>
      </c>
      <c r="L52" s="69" t="s">
        <v>169</v>
      </c>
      <c r="M52" s="70" t="n">
        <f aca="false">F52*J52*10^6</f>
        <v>14517073170.7317</v>
      </c>
      <c r="N52" s="71" t="s">
        <v>170</v>
      </c>
      <c r="O52" s="72" t="n">
        <f aca="false">M52/(45*10^6)</f>
        <v>322.60162601626</v>
      </c>
      <c r="P52" s="73" t="s">
        <v>171</v>
      </c>
    </row>
    <row r="53" customFormat="false" ht="39" hidden="false" customHeight="true" outlineLevel="0" collapsed="false">
      <c r="A53" s="45" t="n">
        <f aca="false">A52+1</f>
        <v>51</v>
      </c>
      <c r="B53" s="74" t="s">
        <v>172</v>
      </c>
      <c r="C53" s="31" t="n">
        <v>9.2</v>
      </c>
      <c r="D53" s="28" t="n">
        <v>1.9</v>
      </c>
      <c r="E53" s="75"/>
      <c r="F53" s="76" t="n">
        <v>7.3</v>
      </c>
      <c r="G53" s="69" t="s">
        <v>166</v>
      </c>
      <c r="H53" s="76" t="n">
        <f aca="false">F53*10^6/(45*10^6)</f>
        <v>0.162222222222222</v>
      </c>
      <c r="I53" s="69" t="s">
        <v>167</v>
      </c>
      <c r="J53" s="52" t="n">
        <f aca="false">47000/4.1</f>
        <v>11463.4146341463</v>
      </c>
      <c r="K53" s="56" t="s">
        <v>168</v>
      </c>
      <c r="L53" s="69" t="s">
        <v>173</v>
      </c>
      <c r="M53" s="77" t="n">
        <f aca="false">F53*10^6*J53</f>
        <v>83682926829.2683</v>
      </c>
      <c r="N53" s="77" t="s">
        <v>174</v>
      </c>
      <c r="O53" s="78" t="n">
        <f aca="false">M53/(45*10^6)</f>
        <v>1859.62059620596</v>
      </c>
      <c r="P53" s="79" t="s">
        <v>175</v>
      </c>
    </row>
    <row r="54" customFormat="false" ht="30.75" hidden="false" customHeight="true" outlineLevel="0" collapsed="false">
      <c r="A54" s="36" t="n">
        <f aca="false">A53+1</f>
        <v>52</v>
      </c>
      <c r="B54" s="80" t="s">
        <v>176</v>
      </c>
      <c r="C54" s="81"/>
      <c r="D54" s="38"/>
      <c r="E54" s="82"/>
      <c r="F54" s="83"/>
      <c r="G54" s="82"/>
      <c r="H54" s="84"/>
      <c r="I54" s="82"/>
      <c r="J54" s="38"/>
      <c r="K54" s="41"/>
      <c r="L54" s="85"/>
      <c r="M54" s="86"/>
      <c r="N54" s="86"/>
      <c r="O54" s="87"/>
      <c r="P54" s="87"/>
    </row>
    <row r="55" customFormat="false" ht="30.75" hidden="false" customHeight="true" outlineLevel="0" collapsed="false">
      <c r="A55" s="45" t="n">
        <f aca="false">A54+1</f>
        <v>53</v>
      </c>
      <c r="B55" s="64" t="s">
        <v>177</v>
      </c>
      <c r="C55" s="88" t="n">
        <f aca="false">12.73*10^6</f>
        <v>12730000</v>
      </c>
      <c r="D55" s="89" t="n">
        <f aca="false">C55-F55</f>
        <v>1654900</v>
      </c>
      <c r="E55" s="66"/>
      <c r="F55" s="90" t="n">
        <f aca="false">C55*0.87</f>
        <v>11075100</v>
      </c>
      <c r="G55" s="66" t="s">
        <v>178</v>
      </c>
      <c r="H55" s="68" t="n">
        <f aca="false">F55/(45*10^6)</f>
        <v>0.246113333333333</v>
      </c>
      <c r="I55" s="91" t="s">
        <v>179</v>
      </c>
      <c r="J55" s="52" t="n">
        <v>0.5</v>
      </c>
      <c r="K55" s="56" t="s">
        <v>180</v>
      </c>
      <c r="L55" s="69" t="s">
        <v>181</v>
      </c>
      <c r="M55" s="70" t="n">
        <f aca="false">F55*J55</f>
        <v>5537550</v>
      </c>
      <c r="N55" s="71" t="s">
        <v>182</v>
      </c>
      <c r="O55" s="72" t="n">
        <f aca="false">M55/(45*10^6)</f>
        <v>0.123056666666667</v>
      </c>
      <c r="P55" s="73" t="s">
        <v>183</v>
      </c>
    </row>
    <row r="56" customFormat="false" ht="54" hidden="false" customHeight="true" outlineLevel="0" collapsed="false">
      <c r="A56" s="45" t="n">
        <f aca="false">A55+1</f>
        <v>54</v>
      </c>
      <c r="B56" s="74" t="s">
        <v>184</v>
      </c>
      <c r="C56" s="92" t="n">
        <f aca="false">1400*35*10^6</f>
        <v>49000000000</v>
      </c>
      <c r="D56" s="93" t="n">
        <f aca="false">C56-F56</f>
        <v>36365500000</v>
      </c>
      <c r="E56" s="94"/>
      <c r="F56" s="92" t="n">
        <f aca="false">C56-(36365.5*10^6)</f>
        <v>12634500000</v>
      </c>
      <c r="G56" s="75" t="s">
        <v>178</v>
      </c>
      <c r="H56" s="95" t="n">
        <f aca="false">F56/(45*10^6)</f>
        <v>280.766666666667</v>
      </c>
      <c r="I56" s="91" t="s">
        <v>179</v>
      </c>
      <c r="J56" s="52" t="n">
        <v>0.5</v>
      </c>
      <c r="K56" s="56" t="s">
        <v>180</v>
      </c>
      <c r="L56" s="69" t="s">
        <v>181</v>
      </c>
      <c r="M56" s="96" t="n">
        <f aca="false">F56*J56</f>
        <v>6317250000</v>
      </c>
      <c r="N56" s="77" t="s">
        <v>185</v>
      </c>
      <c r="O56" s="78" t="n">
        <f aca="false">M56/(45*10^6)</f>
        <v>140.383333333333</v>
      </c>
      <c r="P56" s="79" t="s">
        <v>186</v>
      </c>
    </row>
    <row r="57" customFormat="false" ht="13.5" hidden="false" customHeight="true" outlineLevel="0" collapsed="false">
      <c r="A57" s="36" t="n">
        <f aca="false">A56+1</f>
        <v>55</v>
      </c>
      <c r="B57" s="97" t="s">
        <v>187</v>
      </c>
      <c r="C57" s="98"/>
      <c r="D57" s="98"/>
      <c r="E57" s="99"/>
      <c r="F57" s="100"/>
      <c r="G57" s="99"/>
      <c r="H57" s="100"/>
      <c r="I57" s="99"/>
      <c r="J57" s="101"/>
      <c r="K57" s="102"/>
      <c r="L57" s="103"/>
      <c r="M57" s="104"/>
      <c r="N57" s="105"/>
      <c r="O57" s="104"/>
      <c r="P57" s="105"/>
    </row>
    <row r="58" customFormat="false" ht="13.5" hidden="false" customHeight="true" outlineLevel="0" collapsed="false">
      <c r="A58" s="45" t="n">
        <f aca="false">A57+1</f>
        <v>56</v>
      </c>
      <c r="B58" s="27" t="s">
        <v>188</v>
      </c>
      <c r="C58" s="28"/>
      <c r="D58" s="28"/>
      <c r="E58" s="29"/>
      <c r="F58" s="30"/>
      <c r="G58" s="29"/>
      <c r="H58" s="30"/>
      <c r="I58" s="29"/>
      <c r="J58" s="31"/>
      <c r="K58" s="32"/>
      <c r="L58" s="33"/>
      <c r="M58" s="34"/>
      <c r="N58" s="35"/>
      <c r="O58" s="34"/>
      <c r="P58" s="35"/>
    </row>
    <row r="59" customFormat="false" ht="13.5" hidden="false" customHeight="true" outlineLevel="0" collapsed="false">
      <c r="A59" s="45" t="n">
        <f aca="false">A58+1</f>
        <v>57</v>
      </c>
      <c r="B59" s="27" t="s">
        <v>189</v>
      </c>
      <c r="C59" s="28"/>
      <c r="D59" s="28"/>
      <c r="E59" s="29"/>
      <c r="F59" s="30"/>
      <c r="G59" s="29"/>
      <c r="H59" s="30"/>
      <c r="I59" s="29"/>
      <c r="J59" s="31"/>
      <c r="K59" s="32"/>
      <c r="L59" s="33"/>
      <c r="M59" s="34"/>
      <c r="N59" s="35"/>
      <c r="O59" s="34"/>
      <c r="P59" s="35"/>
    </row>
    <row r="60" customFormat="false" ht="13.5" hidden="false" customHeight="true" outlineLevel="0" collapsed="false">
      <c r="A60" s="45" t="n">
        <f aca="false">A59+1</f>
        <v>58</v>
      </c>
      <c r="B60" s="27" t="s">
        <v>190</v>
      </c>
      <c r="C60" s="28"/>
      <c r="D60" s="28"/>
      <c r="E60" s="29"/>
      <c r="F60" s="30"/>
      <c r="G60" s="29"/>
      <c r="H60" s="30"/>
      <c r="I60" s="29"/>
      <c r="J60" s="31"/>
      <c r="K60" s="32"/>
      <c r="L60" s="33"/>
      <c r="M60" s="34"/>
      <c r="N60" s="35"/>
      <c r="O60" s="34"/>
      <c r="P60" s="35"/>
    </row>
    <row r="61" customFormat="false" ht="13.5" hidden="false" customHeight="true" outlineLevel="0" collapsed="false">
      <c r="A61" s="45" t="n">
        <f aca="false">A60+1</f>
        <v>59</v>
      </c>
      <c r="B61" s="27" t="s">
        <v>191</v>
      </c>
      <c r="C61" s="28"/>
      <c r="D61" s="28"/>
      <c r="E61" s="29"/>
      <c r="F61" s="30"/>
      <c r="G61" s="29"/>
      <c r="H61" s="30"/>
      <c r="I61" s="29"/>
      <c r="J61" s="31"/>
      <c r="K61" s="32"/>
      <c r="L61" s="33"/>
      <c r="M61" s="34"/>
      <c r="N61" s="35"/>
      <c r="O61" s="34"/>
      <c r="P61" s="35"/>
    </row>
    <row r="62" customFormat="false" ht="13.5" hidden="false" customHeight="true" outlineLevel="0" collapsed="false">
      <c r="A62" s="45" t="n">
        <f aca="false">A61+1</f>
        <v>60</v>
      </c>
      <c r="B62" s="27" t="s">
        <v>192</v>
      </c>
      <c r="C62" s="28"/>
      <c r="D62" s="28"/>
      <c r="E62" s="29"/>
      <c r="F62" s="30"/>
      <c r="G62" s="29"/>
      <c r="H62" s="30"/>
      <c r="I62" s="29"/>
      <c r="J62" s="31"/>
      <c r="K62" s="32"/>
      <c r="L62" s="33"/>
      <c r="M62" s="34"/>
      <c r="N62" s="35"/>
      <c r="O62" s="34"/>
      <c r="P62" s="35"/>
    </row>
    <row r="63" customFormat="false" ht="13.5" hidden="false" customHeight="true" outlineLevel="0" collapsed="false">
      <c r="A63" s="45" t="n">
        <f aca="false">A62+1</f>
        <v>61</v>
      </c>
      <c r="B63" s="27" t="s">
        <v>193</v>
      </c>
      <c r="C63" s="28"/>
      <c r="D63" s="28"/>
      <c r="E63" s="29"/>
      <c r="F63" s="30"/>
      <c r="G63" s="29"/>
      <c r="H63" s="30"/>
      <c r="I63" s="29"/>
      <c r="J63" s="31"/>
      <c r="K63" s="32"/>
      <c r="L63" s="33"/>
      <c r="M63" s="34"/>
      <c r="N63" s="35"/>
      <c r="O63" s="34"/>
      <c r="P63" s="35"/>
    </row>
    <row r="64" customFormat="false" ht="13.5" hidden="false" customHeight="true" outlineLevel="0" collapsed="false">
      <c r="A64" s="45" t="n">
        <f aca="false">A63+1</f>
        <v>62</v>
      </c>
      <c r="B64" s="27" t="s">
        <v>194</v>
      </c>
      <c r="C64" s="28"/>
      <c r="D64" s="28"/>
      <c r="E64" s="29"/>
      <c r="F64" s="30"/>
      <c r="G64" s="29"/>
      <c r="H64" s="30"/>
      <c r="I64" s="29"/>
      <c r="J64" s="31"/>
      <c r="K64" s="32"/>
      <c r="L64" s="33"/>
      <c r="M64" s="34"/>
      <c r="N64" s="35"/>
      <c r="O64" s="34"/>
      <c r="P64" s="35"/>
    </row>
    <row r="65" customFormat="false" ht="13.5" hidden="false" customHeight="true" outlineLevel="0" collapsed="false">
      <c r="A65" s="45" t="n">
        <f aca="false">A64+1</f>
        <v>63</v>
      </c>
      <c r="B65" s="27" t="s">
        <v>195</v>
      </c>
      <c r="C65" s="28"/>
      <c r="D65" s="28"/>
      <c r="E65" s="29"/>
      <c r="F65" s="30"/>
      <c r="G65" s="29"/>
      <c r="H65" s="30"/>
      <c r="I65" s="29"/>
      <c r="J65" s="31"/>
      <c r="K65" s="32"/>
      <c r="L65" s="33"/>
      <c r="M65" s="34"/>
      <c r="N65" s="35"/>
      <c r="O65" s="34"/>
      <c r="P65" s="35"/>
    </row>
    <row r="66" customFormat="false" ht="13.5" hidden="false" customHeight="true" outlineLevel="0" collapsed="false">
      <c r="A66" s="45" t="n">
        <f aca="false">A65+1</f>
        <v>64</v>
      </c>
      <c r="B66" s="27" t="s">
        <v>196</v>
      </c>
      <c r="C66" s="28"/>
      <c r="D66" s="28"/>
      <c r="E66" s="29"/>
      <c r="F66" s="30"/>
      <c r="G66" s="29"/>
      <c r="H66" s="30"/>
      <c r="I66" s="29"/>
      <c r="J66" s="31"/>
      <c r="K66" s="32"/>
      <c r="L66" s="33"/>
      <c r="M66" s="34"/>
      <c r="N66" s="35"/>
      <c r="O66" s="34"/>
      <c r="P66" s="35"/>
    </row>
    <row r="67" customFormat="false" ht="13.5" hidden="false" customHeight="true" outlineLevel="0" collapsed="false">
      <c r="A67" s="45" t="n">
        <f aca="false">A66+1</f>
        <v>65</v>
      </c>
      <c r="B67" s="27" t="s">
        <v>197</v>
      </c>
      <c r="C67" s="28"/>
      <c r="D67" s="28"/>
      <c r="E67" s="29"/>
      <c r="F67" s="30"/>
      <c r="G67" s="29"/>
      <c r="H67" s="30"/>
      <c r="I67" s="29"/>
      <c r="J67" s="31"/>
      <c r="K67" s="32"/>
      <c r="L67" s="33"/>
      <c r="M67" s="34"/>
      <c r="N67" s="35"/>
      <c r="O67" s="34"/>
      <c r="P67" s="35"/>
    </row>
    <row r="68" customFormat="false" ht="13.5" hidden="false" customHeight="true" outlineLevel="0" collapsed="false">
      <c r="A68" s="45" t="n">
        <f aca="false">A67+1</f>
        <v>66</v>
      </c>
      <c r="B68" s="27" t="s">
        <v>198</v>
      </c>
      <c r="C68" s="28"/>
      <c r="D68" s="28"/>
      <c r="E68" s="29"/>
      <c r="F68" s="30"/>
      <c r="G68" s="29"/>
      <c r="H68" s="30"/>
      <c r="I68" s="29"/>
      <c r="J68" s="31"/>
      <c r="K68" s="32"/>
      <c r="L68" s="33"/>
      <c r="M68" s="34"/>
      <c r="N68" s="35"/>
      <c r="O68" s="34"/>
      <c r="P68" s="35"/>
    </row>
    <row r="69" customFormat="false" ht="13.5" hidden="false" customHeight="true" outlineLevel="0" collapsed="false">
      <c r="A69" s="45" t="n">
        <f aca="false">A68+1</f>
        <v>67</v>
      </c>
      <c r="B69" s="27" t="s">
        <v>199</v>
      </c>
      <c r="C69" s="28"/>
      <c r="D69" s="28"/>
      <c r="E69" s="29"/>
      <c r="F69" s="30"/>
      <c r="G69" s="29"/>
      <c r="H69" s="30"/>
      <c r="I69" s="29"/>
      <c r="J69" s="31"/>
      <c r="K69" s="32"/>
      <c r="L69" s="33"/>
      <c r="M69" s="34"/>
      <c r="N69" s="35"/>
      <c r="O69" s="34"/>
      <c r="P69" s="35"/>
    </row>
    <row r="70" customFormat="false" ht="13.5" hidden="false" customHeight="true" outlineLevel="0" collapsed="false">
      <c r="A70" s="45" t="n">
        <f aca="false">A69+1</f>
        <v>68</v>
      </c>
      <c r="B70" s="27" t="s">
        <v>200</v>
      </c>
      <c r="C70" s="28"/>
      <c r="D70" s="28"/>
      <c r="E70" s="29"/>
      <c r="F70" s="30"/>
      <c r="G70" s="29"/>
      <c r="H70" s="30"/>
      <c r="I70" s="29"/>
      <c r="J70" s="31"/>
      <c r="K70" s="32"/>
      <c r="L70" s="33"/>
      <c r="M70" s="34"/>
      <c r="N70" s="35"/>
      <c r="O70" s="34"/>
      <c r="P70" s="35"/>
    </row>
    <row r="71" customFormat="false" ht="13.5" hidden="false" customHeight="true" outlineLevel="0" collapsed="false">
      <c r="A71" s="45" t="n">
        <f aca="false">A70+1</f>
        <v>69</v>
      </c>
      <c r="B71" s="27" t="s">
        <v>201</v>
      </c>
      <c r="C71" s="28"/>
      <c r="D71" s="28"/>
      <c r="E71" s="29"/>
      <c r="F71" s="30"/>
      <c r="G71" s="29"/>
      <c r="H71" s="30"/>
      <c r="I71" s="29"/>
      <c r="J71" s="31"/>
      <c r="K71" s="32"/>
      <c r="L71" s="33"/>
      <c r="M71" s="34"/>
      <c r="N71" s="35"/>
      <c r="O71" s="34"/>
      <c r="P71" s="35"/>
    </row>
    <row r="72" customFormat="false" ht="13.5" hidden="false" customHeight="true" outlineLevel="0" collapsed="false">
      <c r="A72" s="45" t="n">
        <f aca="false">A71+1</f>
        <v>70</v>
      </c>
      <c r="B72" s="27" t="s">
        <v>202</v>
      </c>
      <c r="C72" s="28"/>
      <c r="D72" s="28"/>
      <c r="E72" s="29"/>
      <c r="F72" s="30"/>
      <c r="G72" s="29"/>
      <c r="H72" s="30"/>
      <c r="I72" s="29"/>
      <c r="J72" s="31"/>
      <c r="K72" s="32"/>
      <c r="L72" s="33"/>
      <c r="M72" s="34"/>
      <c r="N72" s="35"/>
      <c r="O72" s="34"/>
      <c r="P72" s="35"/>
    </row>
    <row r="73" customFormat="false" ht="13.5" hidden="false" customHeight="true" outlineLevel="0" collapsed="false">
      <c r="A73" s="45" t="n">
        <f aca="false">A72+1</f>
        <v>71</v>
      </c>
      <c r="B73" s="27" t="s">
        <v>203</v>
      </c>
      <c r="C73" s="28"/>
      <c r="D73" s="28"/>
      <c r="E73" s="29"/>
      <c r="F73" s="30"/>
      <c r="G73" s="29"/>
      <c r="H73" s="30"/>
      <c r="I73" s="29"/>
      <c r="J73" s="31"/>
      <c r="K73" s="32"/>
      <c r="L73" s="33"/>
      <c r="M73" s="34"/>
      <c r="N73" s="35"/>
      <c r="O73" s="34"/>
      <c r="P73" s="35"/>
    </row>
    <row r="74" customFormat="false" ht="13.5" hidden="false" customHeight="true" outlineLevel="0" collapsed="false">
      <c r="A74" s="45" t="n">
        <f aca="false">A73+1</f>
        <v>72</v>
      </c>
      <c r="B74" s="27" t="s">
        <v>204</v>
      </c>
      <c r="C74" s="28"/>
      <c r="D74" s="28"/>
      <c r="E74" s="29"/>
      <c r="F74" s="30"/>
      <c r="G74" s="29"/>
      <c r="H74" s="30"/>
      <c r="I74" s="29"/>
      <c r="J74" s="31"/>
      <c r="K74" s="32"/>
      <c r="L74" s="33"/>
      <c r="M74" s="34"/>
      <c r="N74" s="35"/>
      <c r="O74" s="34"/>
      <c r="P74" s="35"/>
    </row>
    <row r="75" customFormat="false" ht="48" hidden="false" customHeight="true" outlineLevel="0" collapsed="false">
      <c r="A75" s="36" t="n">
        <f aca="false">A74+1</f>
        <v>73</v>
      </c>
      <c r="B75" s="97" t="s">
        <v>205</v>
      </c>
      <c r="C75" s="98"/>
      <c r="D75" s="98"/>
      <c r="E75" s="99"/>
      <c r="F75" s="100"/>
      <c r="G75" s="99"/>
      <c r="H75" s="100"/>
      <c r="I75" s="99"/>
      <c r="J75" s="101"/>
      <c r="K75" s="102"/>
      <c r="L75" s="103"/>
      <c r="M75" s="104"/>
      <c r="N75" s="105"/>
      <c r="O75" s="104"/>
      <c r="P75" s="105"/>
    </row>
    <row r="76" customFormat="false" ht="27" hidden="false" customHeight="true" outlineLevel="0" collapsed="false">
      <c r="A76" s="36" t="n">
        <f aca="false">A75+1</f>
        <v>74</v>
      </c>
      <c r="B76" s="97" t="s">
        <v>206</v>
      </c>
      <c r="C76" s="98"/>
      <c r="D76" s="98"/>
      <c r="E76" s="99"/>
      <c r="F76" s="100"/>
      <c r="G76" s="99"/>
      <c r="H76" s="100"/>
      <c r="I76" s="99"/>
      <c r="J76" s="101"/>
      <c r="K76" s="102"/>
      <c r="L76" s="103"/>
      <c r="M76" s="104"/>
      <c r="N76" s="105"/>
      <c r="O76" s="104"/>
      <c r="P76" s="105"/>
    </row>
    <row r="77" customFormat="false" ht="18" hidden="false" customHeight="true" outlineLevel="0" collapsed="false">
      <c r="A77" s="36" t="n">
        <f aca="false">A76+1</f>
        <v>75</v>
      </c>
      <c r="B77" s="97" t="s">
        <v>207</v>
      </c>
      <c r="C77" s="98"/>
      <c r="D77" s="98"/>
      <c r="E77" s="99"/>
      <c r="F77" s="100"/>
      <c r="G77" s="99"/>
      <c r="H77" s="100"/>
      <c r="I77" s="99"/>
      <c r="J77" s="101"/>
      <c r="K77" s="102"/>
      <c r="L77" s="103"/>
      <c r="M77" s="104"/>
      <c r="N77" s="105"/>
      <c r="O77" s="104"/>
      <c r="P77" s="105"/>
    </row>
    <row r="78" customFormat="false" ht="18" hidden="false" customHeight="true" outlineLevel="0" collapsed="false">
      <c r="A78" s="36" t="n">
        <f aca="false">A77+1</f>
        <v>76</v>
      </c>
      <c r="B78" s="97" t="s">
        <v>208</v>
      </c>
      <c r="C78" s="98"/>
      <c r="D78" s="98"/>
      <c r="E78" s="99"/>
      <c r="F78" s="100"/>
      <c r="G78" s="99"/>
      <c r="H78" s="100"/>
      <c r="I78" s="99"/>
      <c r="J78" s="101"/>
      <c r="K78" s="102"/>
      <c r="L78" s="103"/>
      <c r="M78" s="104"/>
      <c r="N78" s="105"/>
      <c r="O78" s="104"/>
      <c r="P78" s="105"/>
    </row>
    <row r="79" customFormat="false" ht="15" hidden="false" customHeight="true" outlineLevel="0" collapsed="false">
      <c r="A79" s="36" t="n">
        <f aca="false">A78+1</f>
        <v>77</v>
      </c>
      <c r="B79" s="106" t="s">
        <v>209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7"/>
      <c r="M79" s="108" t="n">
        <f aca="false">SUM(M4:M46)</f>
        <v>47652003192604.5</v>
      </c>
      <c r="N79" s="109" t="s">
        <v>210</v>
      </c>
      <c r="O79" s="110" t="n">
        <f aca="false">SUM(O3:O75)</f>
        <v>1074430.79955899</v>
      </c>
      <c r="P79" s="111" t="s">
        <v>211</v>
      </c>
    </row>
    <row r="80" customFormat="false" ht="15" hidden="false" customHeight="true" outlineLevel="0" collapsed="false">
      <c r="A80" s="36" t="n">
        <f aca="false">A79+1</f>
        <v>78</v>
      </c>
      <c r="B80" s="112" t="s">
        <v>212</v>
      </c>
      <c r="C80" s="113" t="s">
        <v>213</v>
      </c>
      <c r="D80" s="113"/>
      <c r="E80" s="113"/>
      <c r="F80" s="113"/>
      <c r="G80" s="113"/>
      <c r="H80" s="113"/>
      <c r="I80" s="113"/>
      <c r="J80" s="113"/>
      <c r="K80" s="113"/>
      <c r="L80" s="113"/>
      <c r="M80" s="34" t="n">
        <f aca="false">M79*4.14</f>
        <v>197279293217383</v>
      </c>
      <c r="N80" s="35" t="s">
        <v>214</v>
      </c>
      <c r="O80" s="34" t="n">
        <f aca="false">O79*4.14</f>
        <v>4448143.51017421</v>
      </c>
      <c r="P80" s="114" t="n">
        <v>4450000</v>
      </c>
    </row>
    <row r="81" customFormat="false" ht="15" hidden="false" customHeight="false" outlineLevel="0" collapsed="false">
      <c r="B81" s="115"/>
      <c r="C81" s="115"/>
      <c r="D81" s="115"/>
      <c r="E81" s="115"/>
      <c r="F81" s="116"/>
      <c r="G81" s="115"/>
      <c r="H81" s="117"/>
      <c r="I81" s="118"/>
      <c r="J81" s="119"/>
      <c r="K81" s="120"/>
      <c r="L81" s="121"/>
      <c r="M81" s="122"/>
      <c r="N81" s="123"/>
      <c r="O81" s="124"/>
      <c r="P81" s="123"/>
    </row>
    <row r="82" customFormat="false" ht="15" hidden="false" customHeight="false" outlineLevel="0" collapsed="false">
      <c r="B82" s="122"/>
      <c r="C82" s="122"/>
      <c r="D82" s="122"/>
      <c r="E82" s="122"/>
      <c r="F82" s="123"/>
      <c r="G82" s="122"/>
      <c r="H82" s="125"/>
      <c r="I82" s="122"/>
      <c r="J82" s="126"/>
      <c r="K82" s="127"/>
      <c r="L82" s="121"/>
      <c r="M82" s="122"/>
      <c r="N82" s="123"/>
      <c r="O82" s="124"/>
      <c r="P82" s="123"/>
    </row>
    <row r="83" customFormat="false" ht="36" hidden="false" customHeight="true" outlineLevel="0" collapsed="false">
      <c r="A83" s="5" t="s">
        <v>18</v>
      </c>
      <c r="B83" s="128" t="s">
        <v>215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N83" s="129"/>
      <c r="P83" s="123"/>
    </row>
    <row r="84" customFormat="false" ht="42" hidden="false" customHeight="true" outlineLevel="0" collapsed="false">
      <c r="A84" s="5" t="s">
        <v>22</v>
      </c>
      <c r="B84" s="128" t="s">
        <v>216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P84" s="123"/>
    </row>
    <row r="85" customFormat="false" ht="38.25" hidden="false" customHeight="true" outlineLevel="0" collapsed="false">
      <c r="A85" s="5" t="s">
        <v>30</v>
      </c>
      <c r="B85" s="128" t="s">
        <v>217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3"/>
    </row>
    <row r="86" customFormat="false" ht="46.5" hidden="false" customHeight="true" outlineLevel="0" collapsed="false">
      <c r="A86" s="5" t="s">
        <v>36</v>
      </c>
      <c r="B86" s="128" t="s">
        <v>218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3"/>
    </row>
    <row r="87" customFormat="false" ht="83.25" hidden="false" customHeight="true" outlineLevel="0" collapsed="false">
      <c r="A87" s="5" t="s">
        <v>40</v>
      </c>
      <c r="B87" s="128" t="s">
        <v>219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30"/>
      <c r="N87" s="131"/>
      <c r="O87" s="132"/>
      <c r="P87" s="133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</row>
    <row r="88" customFormat="false" ht="13.5" hidden="false" customHeight="true" outlineLevel="0" collapsed="false">
      <c r="A88" s="5" t="s">
        <v>45</v>
      </c>
      <c r="B88" s="128" t="s">
        <v>220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3"/>
    </row>
    <row r="89" customFormat="false" ht="13.5" hidden="false" customHeight="true" outlineLevel="0" collapsed="false">
      <c r="A89" s="5" t="s">
        <v>60</v>
      </c>
      <c r="B89" s="128" t="s">
        <v>221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3"/>
    </row>
    <row r="90" customFormat="false" ht="13.5" hidden="false" customHeight="true" outlineLevel="0" collapsed="false">
      <c r="A90" s="5" t="s">
        <v>68</v>
      </c>
      <c r="B90" s="128" t="s">
        <v>222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3"/>
    </row>
    <row r="91" customFormat="false" ht="13.5" hidden="false" customHeight="true" outlineLevel="0" collapsed="false">
      <c r="A91" s="5" t="s">
        <v>89</v>
      </c>
      <c r="B91" s="128" t="s">
        <v>223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3"/>
    </row>
    <row r="92" customFormat="false" ht="34.5" hidden="false" customHeight="true" outlineLevel="0" collapsed="false">
      <c r="A92" s="5" t="s">
        <v>85</v>
      </c>
      <c r="B92" s="128" t="s">
        <v>224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3"/>
    </row>
    <row r="93" customFormat="false" ht="26.25" hidden="false" customHeight="true" outlineLevel="0" collapsed="false">
      <c r="A93" s="5" t="s">
        <v>181</v>
      </c>
      <c r="B93" s="128" t="s">
        <v>225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</row>
    <row r="94" customFormat="false" ht="28.5" hidden="false" customHeight="true" outlineLevel="0" collapsed="false">
      <c r="A94" s="5" t="s">
        <v>173</v>
      </c>
      <c r="B94" s="134" t="s">
        <v>226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  <row r="95" customFormat="false" ht="24.75" hidden="false" customHeight="true" outlineLevel="0" collapsed="false">
      <c r="A95" s="5" t="s">
        <v>169</v>
      </c>
      <c r="B95" s="128" t="s">
        <v>227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</row>
    <row r="96" customFormat="false" ht="13.5" hidden="false" customHeight="true" outlineLevel="0" collapsed="false">
      <c r="A96" s="5" t="s">
        <v>154</v>
      </c>
      <c r="B96" s="128" t="s">
        <v>228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</row>
    <row r="97" customFormat="false" ht="15" hidden="false" customHeight="true" outlineLevel="0" collapsed="false">
      <c r="A97" s="1" t="s">
        <v>161</v>
      </c>
      <c r="B97" s="135" t="s">
        <v>229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</row>
    <row r="98" customFormat="false" ht="15" hidden="false" customHeight="false" outlineLevel="0" collapsed="false">
      <c r="A98" s="1" t="s">
        <v>158</v>
      </c>
      <c r="B98" s="136" t="s">
        <v>230</v>
      </c>
    </row>
  </sheetData>
  <mergeCells count="30">
    <mergeCell ref="A1:A2"/>
    <mergeCell ref="B1:B2"/>
    <mergeCell ref="C1:D1"/>
    <mergeCell ref="E1:E2"/>
    <mergeCell ref="F1:F2"/>
    <mergeCell ref="G1:G2"/>
    <mergeCell ref="H1:H2"/>
    <mergeCell ref="I1:I2"/>
    <mergeCell ref="J1:J2"/>
    <mergeCell ref="K1:K2"/>
    <mergeCell ref="L1:L2"/>
    <mergeCell ref="M1:N2"/>
    <mergeCell ref="O1:P2"/>
    <mergeCell ref="B79:K79"/>
    <mergeCell ref="C80:L80"/>
    <mergeCell ref="B83:L83"/>
    <mergeCell ref="B84:L84"/>
    <mergeCell ref="B85:O85"/>
    <mergeCell ref="B86:O86"/>
    <mergeCell ref="B87:L87"/>
    <mergeCell ref="B88:O88"/>
    <mergeCell ref="B89:O89"/>
    <mergeCell ref="B90:O90"/>
    <mergeCell ref="B91:O91"/>
    <mergeCell ref="B92:O92"/>
    <mergeCell ref="B93:O93"/>
    <mergeCell ref="B94:O94"/>
    <mergeCell ref="B95:O95"/>
    <mergeCell ref="B96:O96"/>
    <mergeCell ref="B97:O97"/>
  </mergeCells>
  <hyperlinks>
    <hyperlink ref="B94" r:id="rId2" display="wielkość zasobu na postawie -https://www.lasy.gov.pl/pl; cenę przyjęto   - http://analizacen.pl/ile-kosztuje-las.php - oraz analizy ofert sprzedaży lasów prywatnych,   w przeliczeniu na USD po kursie z dnia 30.03.2020"/>
    <hyperlink ref="B97" r:id="rId3" display="https://www.bankier.pl/surowce/notowania"/>
    <hyperlink ref="B98" r:id="rId4" display="https://www.vanadiumprice.com/"/>
  </hyperlinks>
  <printOptions headings="false" gridLines="false" gridLinesSet="true" horizontalCentered="false" verticalCentered="false"/>
  <pageMargins left="0.39375" right="0" top="0.157638888888889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921875" defaultRowHeight="13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921875" defaultRowHeight="13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2020-03-26T13:55:58Z</dcterms:created>
  <dc:creator>Dell</dc:creator>
  <dc:description/>
  <dc:language>pl-PL</dc:language>
  <cp:lastModifiedBy>Acer</cp:lastModifiedBy>
  <cp:lastPrinted>2020-04-02T08:19:29Z</cp:lastPrinted>
  <dcterms:modified xsi:type="dcterms:W3CDTF">2022-12-27T07:18:41Z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